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3.xml" ContentType="application/vnd.openxmlformats-officedocument.drawing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4.xml" ContentType="application/vnd.openxmlformats-officedocument.drawing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4.xml" ContentType="application/vnd.openxmlformats-officedocument.drawingml.chart+xml"/>
  <Override PartName="/xl/drawings/drawing7.xml" ContentType="application/vnd.openxmlformats-officedocument.drawing+xml"/>
  <Override PartName="/xl/charts/chart15.xml" ContentType="application/vnd.openxmlformats-officedocument.drawingml.chart+xml"/>
  <Override PartName="/xl/drawings/drawing8.xml" ContentType="application/vnd.openxmlformats-officedocument.drawing+xml"/>
  <Override PartName="/xl/charts/chart16.xml" ContentType="application/vnd.openxmlformats-officedocument.drawingml.chart+xml"/>
  <Override PartName="/xl/drawings/drawing9.xml" ContentType="application/vnd.openxmlformats-officedocument.drawing+xml"/>
  <Override PartName="/xl/charts/chart17.xml" ContentType="application/vnd.openxmlformats-officedocument.drawingml.chart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harts/chart18.xml" ContentType="application/vnd.openxmlformats-officedocument.drawingml.chart+xml"/>
  <Override PartName="/xl/drawings/drawing12.xml" ContentType="application/vnd.openxmlformats-officedocument.drawing+xml"/>
  <Override PartName="/xl/charts/chart19.xml" ContentType="application/vnd.openxmlformats-officedocument.drawingml.chart+xml"/>
  <Override PartName="/xl/drawings/drawing13.xml" ContentType="application/vnd.openxmlformats-officedocument.drawing+xml"/>
  <Override PartName="/xl/charts/chart20.xml" ContentType="application/vnd.openxmlformats-officedocument.drawingml.chart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14.xml" ContentType="application/vnd.openxmlformats-officedocument.spreadsheetml.table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2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DanPage/Library/Mobile Documents/com~apple~CloudDocs/Documents/Year5-Semester2/FYP/Code/"/>
    </mc:Choice>
  </mc:AlternateContent>
  <xr:revisionPtr revIDLastSave="0" documentId="13_ncr:1_{A4906E2F-4C5F-6944-B555-11189B375A3B}" xr6:coauthVersionLast="47" xr6:coauthVersionMax="47" xr10:uidLastSave="{00000000-0000-0000-0000-000000000000}"/>
  <bookViews>
    <workbookView xWindow="-4340" yWindow="-21100" windowWidth="19200" windowHeight="21100" firstSheet="12" activeTab="16" xr2:uid="{00000000-000D-0000-FFFF-FFFF00000000}"/>
  </bookViews>
  <sheets>
    <sheet name="Impact on Footprint" sheetId="1" r:id="rId1"/>
    <sheet name="Chancellors" sheetId="2" r:id="rId2"/>
    <sheet name="Bus Sheet" sheetId="3" r:id="rId3"/>
    <sheet name="Bus Sheet (2)" sheetId="4" r:id="rId4"/>
    <sheet name="BusRouteAnalysis" sheetId="5" r:id="rId5"/>
    <sheet name="Contact Hours" sheetId="7" r:id="rId6"/>
    <sheet name="Bus Emissions v1" sheetId="8" r:id="rId7"/>
    <sheet name="Bus Emissions v1.2" sheetId="9" r:id="rId8"/>
    <sheet name="bus methods" sheetId="10" r:id="rId9"/>
    <sheet name="Google Maps Time" sheetId="11" r:id="rId10"/>
    <sheet name="Bus Emissions v2" sheetId="12" r:id="rId11"/>
    <sheet name="0-30" sheetId="13" r:id="rId12"/>
    <sheet name="Demographic" sheetId="6" r:id="rId13"/>
    <sheet name="Demographic (2)" sheetId="14" r:id="rId14"/>
    <sheet name="Demographic (3)" sheetId="17" r:id="rId15"/>
    <sheet name="Rooms" sheetId="15" r:id="rId16"/>
    <sheet name="TestCases" sheetId="20" r:id="rId17"/>
    <sheet name="Class Info" sheetId="16" r:id="rId18"/>
    <sheet name="Lecture Times" sheetId="18" r:id="rId19"/>
    <sheet name="Results" sheetId="21" r:id="rId2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5" i="20" l="1"/>
  <c r="B35" i="20"/>
  <c r="L6" i="17"/>
  <c r="L4" i="17"/>
  <c r="L5" i="17"/>
  <c r="D57" i="17"/>
  <c r="F42" i="17"/>
  <c r="E42" i="17"/>
  <c r="D42" i="17"/>
  <c r="C42" i="17"/>
  <c r="B42" i="17"/>
  <c r="G41" i="17"/>
  <c r="G40" i="17"/>
  <c r="G39" i="17"/>
  <c r="G38" i="17"/>
  <c r="G32" i="17"/>
  <c r="H32" i="17" s="1"/>
  <c r="G33" i="17"/>
  <c r="H33" i="17" s="1"/>
  <c r="G34" i="17"/>
  <c r="G31" i="17"/>
  <c r="H31" i="17" s="1"/>
  <c r="F34" i="17"/>
  <c r="D27" i="17"/>
  <c r="E27" i="17"/>
  <c r="C27" i="17"/>
  <c r="B27" i="17"/>
  <c r="J8" i="17"/>
  <c r="C8" i="17"/>
  <c r="D4" i="17"/>
  <c r="C32" i="17" s="1"/>
  <c r="D5" i="17"/>
  <c r="D34" i="17" s="1"/>
  <c r="D6" i="17"/>
  <c r="E34" i="17" s="1"/>
  <c r="D7" i="17"/>
  <c r="D3" i="17"/>
  <c r="B34" i="17" s="1"/>
  <c r="E60" i="17"/>
  <c r="D60" i="17"/>
  <c r="E59" i="17"/>
  <c r="D59" i="17"/>
  <c r="E58" i="17"/>
  <c r="D58" i="17"/>
  <c r="E57" i="17"/>
  <c r="C49" i="17"/>
  <c r="B8" i="17"/>
  <c r="D46" i="14"/>
  <c r="E42" i="14"/>
  <c r="E46" i="14" s="1"/>
  <c r="E43" i="14"/>
  <c r="E44" i="14"/>
  <c r="E45" i="14"/>
  <c r="D43" i="14"/>
  <c r="D44" i="14"/>
  <c r="D45" i="14"/>
  <c r="D42" i="14"/>
  <c r="C34" i="14"/>
  <c r="E5" i="15"/>
  <c r="E4" i="15"/>
  <c r="E3" i="15"/>
  <c r="E2" i="15"/>
  <c r="E1" i="15"/>
  <c r="Y38" i="15"/>
  <c r="Y37" i="15"/>
  <c r="Y36" i="15"/>
  <c r="Y35" i="15"/>
  <c r="Y34" i="15"/>
  <c r="Y33" i="15"/>
  <c r="Y32" i="15"/>
  <c r="Y31" i="15"/>
  <c r="Y30" i="15"/>
  <c r="Y29" i="15"/>
  <c r="Y28" i="15"/>
  <c r="Y27" i="15"/>
  <c r="Y26" i="15"/>
  <c r="Y25" i="15"/>
  <c r="Y24" i="15"/>
  <c r="Y23" i="15"/>
  <c r="Y22" i="15"/>
  <c r="Y21" i="15"/>
  <c r="Y20" i="15"/>
  <c r="Y19" i="15"/>
  <c r="Y18" i="15"/>
  <c r="Y17" i="15"/>
  <c r="Y15" i="15"/>
  <c r="Y14" i="15"/>
  <c r="Y13" i="15"/>
  <c r="Y12" i="15"/>
  <c r="Y11" i="15"/>
  <c r="Y10" i="15"/>
  <c r="Y9" i="15"/>
  <c r="Y8" i="15"/>
  <c r="Y7" i="15"/>
  <c r="Y6" i="15"/>
  <c r="W38" i="14"/>
  <c r="V38" i="14"/>
  <c r="U38" i="14"/>
  <c r="X38" i="14" s="1"/>
  <c r="B35" i="14" s="1"/>
  <c r="B36" i="14" s="1"/>
  <c r="T38" i="14"/>
  <c r="S38" i="14"/>
  <c r="X37" i="14"/>
  <c r="X36" i="14"/>
  <c r="X35" i="14"/>
  <c r="X34" i="14"/>
  <c r="L28" i="14"/>
  <c r="N27" i="14"/>
  <c r="J27" i="14"/>
  <c r="S18" i="14" s="1"/>
  <c r="M26" i="14"/>
  <c r="P17" i="14" s="1"/>
  <c r="K26" i="14"/>
  <c r="N17" i="14" s="1"/>
  <c r="J25" i="14"/>
  <c r="M16" i="14" s="1"/>
  <c r="C25" i="14"/>
  <c r="B25" i="14"/>
  <c r="J24" i="14"/>
  <c r="M15" i="14" s="1"/>
  <c r="K19" i="14"/>
  <c r="J19" i="14"/>
  <c r="W18" i="14"/>
  <c r="Q18" i="14"/>
  <c r="W15" i="14"/>
  <c r="S15" i="14"/>
  <c r="Q15" i="14"/>
  <c r="J7" i="14"/>
  <c r="J26" i="14" s="1"/>
  <c r="B7" i="14"/>
  <c r="C4" i="14" s="1"/>
  <c r="K3" i="14"/>
  <c r="G3" i="14"/>
  <c r="E3" i="14"/>
  <c r="K2" i="14"/>
  <c r="G2" i="14"/>
  <c r="E29" i="13"/>
  <c r="C29" i="13"/>
  <c r="F29" i="13" s="1"/>
  <c r="K18" i="13" s="1"/>
  <c r="L18" i="13" s="1"/>
  <c r="E28" i="13"/>
  <c r="C28" i="13"/>
  <c r="F21" i="13"/>
  <c r="E21" i="13"/>
  <c r="C21" i="13"/>
  <c r="E20" i="13"/>
  <c r="C20" i="13"/>
  <c r="E19" i="13"/>
  <c r="C19" i="13"/>
  <c r="E18" i="13"/>
  <c r="C18" i="13"/>
  <c r="F18" i="13" s="1"/>
  <c r="G18" i="13" s="1"/>
  <c r="E17" i="13"/>
  <c r="C17" i="13"/>
  <c r="E16" i="13"/>
  <c r="C16" i="13"/>
  <c r="F15" i="13"/>
  <c r="G15" i="13" s="1"/>
  <c r="E15" i="13"/>
  <c r="C15" i="13"/>
  <c r="F14" i="13" s="1"/>
  <c r="E14" i="13"/>
  <c r="C14" i="13"/>
  <c r="E13" i="13"/>
  <c r="C13" i="13"/>
  <c r="E12" i="13"/>
  <c r="C12" i="13"/>
  <c r="F11" i="13" s="1"/>
  <c r="G11" i="13" s="1"/>
  <c r="E11" i="13"/>
  <c r="C11" i="13"/>
  <c r="F10" i="13" s="1"/>
  <c r="G10" i="13" s="1"/>
  <c r="E10" i="13"/>
  <c r="C10" i="13"/>
  <c r="K9" i="13"/>
  <c r="E9" i="13"/>
  <c r="C9" i="13"/>
  <c r="F9" i="13" s="1"/>
  <c r="G9" i="13" s="1"/>
  <c r="E8" i="13"/>
  <c r="C8" i="13"/>
  <c r="E7" i="13"/>
  <c r="C7" i="13"/>
  <c r="E6" i="13"/>
  <c r="C6" i="13"/>
  <c r="F6" i="13" s="1"/>
  <c r="E5" i="13"/>
  <c r="C5" i="13"/>
  <c r="F5" i="13" s="1"/>
  <c r="G5" i="13" s="1"/>
  <c r="E4" i="13"/>
  <c r="C4" i="13"/>
  <c r="E3" i="13"/>
  <c r="C3" i="13"/>
  <c r="B5" i="12"/>
  <c r="C15" i="12" s="1"/>
  <c r="B4" i="12"/>
  <c r="G52" i="11"/>
  <c r="V16" i="11" s="1"/>
  <c r="D52" i="11"/>
  <c r="G51" i="11"/>
  <c r="D51" i="11"/>
  <c r="G50" i="11"/>
  <c r="D50" i="11"/>
  <c r="S16" i="11" s="1"/>
  <c r="G49" i="11"/>
  <c r="D49" i="11"/>
  <c r="G48" i="11"/>
  <c r="D48" i="11"/>
  <c r="G47" i="11"/>
  <c r="D47" i="11"/>
  <c r="G46" i="11"/>
  <c r="D46" i="11"/>
  <c r="G45" i="11"/>
  <c r="D45" i="11"/>
  <c r="G44" i="11"/>
  <c r="V14" i="11" s="1"/>
  <c r="D44" i="11"/>
  <c r="G43" i="11"/>
  <c r="D43" i="11"/>
  <c r="G42" i="11"/>
  <c r="D42" i="11"/>
  <c r="G41" i="11"/>
  <c r="D41" i="11"/>
  <c r="G40" i="11"/>
  <c r="U13" i="11" s="1"/>
  <c r="D40" i="11"/>
  <c r="G39" i="11"/>
  <c r="D39" i="11"/>
  <c r="G38" i="11"/>
  <c r="D38" i="11"/>
  <c r="G37" i="11"/>
  <c r="D37" i="11"/>
  <c r="G36" i="11"/>
  <c r="D36" i="11"/>
  <c r="G35" i="11"/>
  <c r="D35" i="11"/>
  <c r="G34" i="11"/>
  <c r="D34" i="11"/>
  <c r="G33" i="11"/>
  <c r="D33" i="11"/>
  <c r="G32" i="11"/>
  <c r="V12" i="11" s="1"/>
  <c r="D32" i="11"/>
  <c r="G31" i="11"/>
  <c r="D31" i="11"/>
  <c r="G30" i="11"/>
  <c r="D30" i="11"/>
  <c r="G29" i="11"/>
  <c r="D29" i="11"/>
  <c r="G28" i="11"/>
  <c r="D28" i="11"/>
  <c r="G27" i="11"/>
  <c r="D27" i="11"/>
  <c r="G26" i="11"/>
  <c r="D26" i="11"/>
  <c r="G25" i="11"/>
  <c r="D25" i="11"/>
  <c r="G24" i="11"/>
  <c r="V10" i="11" s="1"/>
  <c r="D24" i="11"/>
  <c r="G23" i="11"/>
  <c r="D23" i="11"/>
  <c r="G22" i="11"/>
  <c r="D22" i="11"/>
  <c r="G21" i="11"/>
  <c r="D21" i="11"/>
  <c r="G20" i="11"/>
  <c r="U9" i="11" s="1"/>
  <c r="D20" i="11"/>
  <c r="G19" i="11"/>
  <c r="D19" i="11"/>
  <c r="G18" i="11"/>
  <c r="D18" i="11"/>
  <c r="G17" i="11"/>
  <c r="D17" i="11"/>
  <c r="S8" i="11" s="1"/>
  <c r="T16" i="11"/>
  <c r="G16" i="11"/>
  <c r="D16" i="11"/>
  <c r="V15" i="11"/>
  <c r="T15" i="11"/>
  <c r="G15" i="11"/>
  <c r="V8" i="11" s="1"/>
  <c r="D15" i="11"/>
  <c r="T14" i="11"/>
  <c r="G14" i="11"/>
  <c r="D14" i="11"/>
  <c r="V13" i="11"/>
  <c r="T13" i="11"/>
  <c r="G13" i="11"/>
  <c r="D13" i="11"/>
  <c r="T12" i="11"/>
  <c r="S12" i="11"/>
  <c r="G12" i="11"/>
  <c r="D12" i="11"/>
  <c r="V11" i="11"/>
  <c r="T11" i="11"/>
  <c r="G11" i="11"/>
  <c r="D11" i="11"/>
  <c r="T10" i="11"/>
  <c r="G10" i="11"/>
  <c r="V7" i="11" s="1"/>
  <c r="D10" i="11"/>
  <c r="T7" i="11" s="1"/>
  <c r="V9" i="11"/>
  <c r="T9" i="11"/>
  <c r="G9" i="11"/>
  <c r="D9" i="11"/>
  <c r="T8" i="11"/>
  <c r="G8" i="11"/>
  <c r="D8" i="11"/>
  <c r="G7" i="11"/>
  <c r="D7" i="11"/>
  <c r="G6" i="11"/>
  <c r="D6" i="11"/>
  <c r="T6" i="11" s="1"/>
  <c r="G5" i="11"/>
  <c r="D5" i="11"/>
  <c r="G4" i="11"/>
  <c r="D4" i="11"/>
  <c r="T17" i="11" s="1"/>
  <c r="H9" i="10"/>
  <c r="H8" i="10"/>
  <c r="H7" i="10"/>
  <c r="H6" i="10"/>
  <c r="H5" i="10"/>
  <c r="S48" i="9"/>
  <c r="K48" i="9"/>
  <c r="T47" i="9"/>
  <c r="L47" i="9"/>
  <c r="T46" i="9"/>
  <c r="L46" i="9"/>
  <c r="T45" i="9"/>
  <c r="L45" i="9"/>
  <c r="T44" i="9"/>
  <c r="L44" i="9"/>
  <c r="T43" i="9"/>
  <c r="L43" i="9"/>
  <c r="T42" i="9"/>
  <c r="L42" i="9"/>
  <c r="E42" i="9"/>
  <c r="D42" i="9"/>
  <c r="C42" i="9"/>
  <c r="B42" i="9"/>
  <c r="T41" i="9"/>
  <c r="L41" i="9"/>
  <c r="F41" i="9"/>
  <c r="T40" i="9"/>
  <c r="L40" i="9"/>
  <c r="F40" i="9"/>
  <c r="T39" i="9"/>
  <c r="L39" i="9"/>
  <c r="E39" i="9"/>
  <c r="D39" i="9"/>
  <c r="C39" i="9"/>
  <c r="B39" i="9"/>
  <c r="F39" i="9" s="1"/>
  <c r="T38" i="9"/>
  <c r="T48" i="9" s="1"/>
  <c r="L38" i="9"/>
  <c r="F38" i="9"/>
  <c r="T37" i="9"/>
  <c r="L37" i="9"/>
  <c r="T36" i="9"/>
  <c r="L36" i="9"/>
  <c r="L48" i="9" s="1"/>
  <c r="B21" i="9"/>
  <c r="B20" i="9"/>
  <c r="C19" i="9"/>
  <c r="D19" i="9" s="1"/>
  <c r="D18" i="9"/>
  <c r="D16" i="9"/>
  <c r="B16" i="9"/>
  <c r="C20" i="9" s="1"/>
  <c r="D20" i="9" s="1"/>
  <c r="B12" i="9"/>
  <c r="C12" i="9" s="1"/>
  <c r="B6" i="9"/>
  <c r="B2" i="9"/>
  <c r="K56" i="8"/>
  <c r="I44" i="8" s="1"/>
  <c r="M54" i="8"/>
  <c r="M53" i="8"/>
  <c r="K53" i="8"/>
  <c r="M52" i="8"/>
  <c r="I43" i="8"/>
  <c r="J35" i="8"/>
  <c r="J30" i="8"/>
  <c r="R26" i="8"/>
  <c r="R25" i="8"/>
  <c r="J25" i="8"/>
  <c r="J26" i="8" s="1"/>
  <c r="C25" i="8"/>
  <c r="C26" i="8" s="1"/>
  <c r="C27" i="8" s="1"/>
  <c r="C28" i="8" s="1"/>
  <c r="B25" i="8"/>
  <c r="B26" i="8" s="1"/>
  <c r="B27" i="8" s="1"/>
  <c r="B28" i="8" s="1"/>
  <c r="E24" i="8"/>
  <c r="D24" i="8"/>
  <c r="S23" i="8"/>
  <c r="K23" i="8"/>
  <c r="S22" i="8"/>
  <c r="T22" i="8" s="1"/>
  <c r="L22" i="8"/>
  <c r="K22" i="8"/>
  <c r="S21" i="8"/>
  <c r="T21" i="8" s="1"/>
  <c r="K21" i="8"/>
  <c r="S20" i="8"/>
  <c r="T20" i="8" s="1"/>
  <c r="K20" i="8"/>
  <c r="B20" i="8"/>
  <c r="S19" i="8"/>
  <c r="T19" i="8" s="1"/>
  <c r="K19" i="8"/>
  <c r="L19" i="8" s="1"/>
  <c r="S18" i="8"/>
  <c r="T18" i="8" s="1"/>
  <c r="K18" i="8"/>
  <c r="S17" i="8"/>
  <c r="T17" i="8" s="1"/>
  <c r="K17" i="8"/>
  <c r="S16" i="8"/>
  <c r="T16" i="8" s="1"/>
  <c r="K16" i="8"/>
  <c r="S15" i="8"/>
  <c r="T15" i="8" s="1"/>
  <c r="K15" i="8"/>
  <c r="S14" i="8"/>
  <c r="K14" i="8"/>
  <c r="L14" i="8" s="1"/>
  <c r="C14" i="8"/>
  <c r="B14" i="8"/>
  <c r="T13" i="8"/>
  <c r="S13" i="8"/>
  <c r="L13" i="8"/>
  <c r="K13" i="8"/>
  <c r="S12" i="8"/>
  <c r="T12" i="8" s="1"/>
  <c r="L12" i="8"/>
  <c r="K12" i="8"/>
  <c r="C11" i="8"/>
  <c r="B17" i="8" s="1"/>
  <c r="B22" i="8" s="1"/>
  <c r="G4" i="8"/>
  <c r="D4" i="8"/>
  <c r="E67" i="7"/>
  <c r="E66" i="7"/>
  <c r="E65" i="7"/>
  <c r="E64" i="7"/>
  <c r="E63" i="7"/>
  <c r="E62" i="7"/>
  <c r="E61" i="7"/>
  <c r="E60" i="7"/>
  <c r="E59" i="7"/>
  <c r="E58" i="7"/>
  <c r="E57" i="7"/>
  <c r="E56" i="7"/>
  <c r="E55" i="7"/>
  <c r="E54" i="7"/>
  <c r="E53" i="7"/>
  <c r="E52" i="7"/>
  <c r="E51" i="7"/>
  <c r="E50" i="7"/>
  <c r="E49" i="7"/>
  <c r="E47" i="7"/>
  <c r="E46" i="7"/>
  <c r="E45" i="7"/>
  <c r="E44" i="7"/>
  <c r="E43" i="7"/>
  <c r="E42" i="7"/>
  <c r="E40" i="7"/>
  <c r="E39" i="7"/>
  <c r="E38" i="7"/>
  <c r="E37" i="7"/>
  <c r="E36" i="7"/>
  <c r="E35" i="7"/>
  <c r="E34" i="7"/>
  <c r="E33" i="7"/>
  <c r="I32" i="7"/>
  <c r="K32" i="7" s="1"/>
  <c r="H32" i="7"/>
  <c r="J32" i="7" s="1"/>
  <c r="E32" i="7"/>
  <c r="I31" i="7"/>
  <c r="K31" i="7" s="1"/>
  <c r="H31" i="7"/>
  <c r="J31" i="7" s="1"/>
  <c r="E31" i="7"/>
  <c r="I30" i="7"/>
  <c r="K30" i="7" s="1"/>
  <c r="H30" i="7"/>
  <c r="J30" i="7" s="1"/>
  <c r="E30" i="7"/>
  <c r="I29" i="7"/>
  <c r="K29" i="7" s="1"/>
  <c r="H29" i="7"/>
  <c r="J29" i="7" s="1"/>
  <c r="E29" i="7"/>
  <c r="I28" i="7"/>
  <c r="K28" i="7" s="1"/>
  <c r="H28" i="7"/>
  <c r="J28" i="7" s="1"/>
  <c r="E28" i="7"/>
  <c r="K27" i="7"/>
  <c r="J27" i="7"/>
  <c r="E27" i="7"/>
  <c r="I26" i="7"/>
  <c r="K26" i="7" s="1"/>
  <c r="H26" i="7"/>
  <c r="J26" i="7" s="1"/>
  <c r="E26" i="7"/>
  <c r="J25" i="7"/>
  <c r="I25" i="7"/>
  <c r="K25" i="7" s="1"/>
  <c r="H25" i="7"/>
  <c r="E25" i="7"/>
  <c r="J24" i="7"/>
  <c r="I24" i="7"/>
  <c r="K24" i="7" s="1"/>
  <c r="H24" i="7"/>
  <c r="E24" i="7"/>
  <c r="K23" i="7"/>
  <c r="I23" i="7"/>
  <c r="H23" i="7"/>
  <c r="J23" i="7" s="1"/>
  <c r="E23" i="7"/>
  <c r="I22" i="7"/>
  <c r="K22" i="7" s="1"/>
  <c r="H22" i="7"/>
  <c r="J22" i="7" s="1"/>
  <c r="E22" i="7"/>
  <c r="K21" i="7"/>
  <c r="J21" i="7"/>
  <c r="E21" i="7"/>
  <c r="I20" i="7"/>
  <c r="K20" i="7" s="1"/>
  <c r="H20" i="7"/>
  <c r="J20" i="7" s="1"/>
  <c r="I19" i="7"/>
  <c r="K19" i="7" s="1"/>
  <c r="H19" i="7"/>
  <c r="J19" i="7" s="1"/>
  <c r="E19" i="7"/>
  <c r="J18" i="7"/>
  <c r="I18" i="7"/>
  <c r="K18" i="7" s="1"/>
  <c r="H18" i="7"/>
  <c r="E18" i="7"/>
  <c r="J17" i="7"/>
  <c r="I17" i="7"/>
  <c r="K17" i="7" s="1"/>
  <c r="H17" i="7"/>
  <c r="E17" i="7"/>
  <c r="K16" i="7"/>
  <c r="I16" i="7"/>
  <c r="H16" i="7"/>
  <c r="J16" i="7" s="1"/>
  <c r="E16" i="7"/>
  <c r="K15" i="7"/>
  <c r="J15" i="7"/>
  <c r="E15" i="7"/>
  <c r="K14" i="7"/>
  <c r="I14" i="7"/>
  <c r="H14" i="7"/>
  <c r="J14" i="7" s="1"/>
  <c r="E14" i="7"/>
  <c r="I13" i="7"/>
  <c r="K13" i="7" s="1"/>
  <c r="H13" i="7"/>
  <c r="J13" i="7" s="1"/>
  <c r="E13" i="7"/>
  <c r="I12" i="7"/>
  <c r="K12" i="7" s="1"/>
  <c r="H12" i="7"/>
  <c r="J12" i="7" s="1"/>
  <c r="E12" i="7"/>
  <c r="I11" i="7"/>
  <c r="K11" i="7" s="1"/>
  <c r="H11" i="7"/>
  <c r="J11" i="7" s="1"/>
  <c r="E11" i="7"/>
  <c r="I10" i="7"/>
  <c r="K10" i="7" s="1"/>
  <c r="H10" i="7"/>
  <c r="J10" i="7" s="1"/>
  <c r="E10" i="7"/>
  <c r="P9" i="7"/>
  <c r="O9" i="7"/>
  <c r="N9" i="7"/>
  <c r="K9" i="7"/>
  <c r="J9" i="7"/>
  <c r="E9" i="7"/>
  <c r="I8" i="7"/>
  <c r="K8" i="7" s="1"/>
  <c r="H8" i="7"/>
  <c r="J8" i="7" s="1"/>
  <c r="E8" i="7"/>
  <c r="I7" i="7"/>
  <c r="K7" i="7" s="1"/>
  <c r="H7" i="7"/>
  <c r="J7" i="7" s="1"/>
  <c r="E7" i="7"/>
  <c r="K6" i="7"/>
  <c r="I6" i="7"/>
  <c r="H6" i="7"/>
  <c r="J6" i="7" s="1"/>
  <c r="E6" i="7"/>
  <c r="K5" i="7"/>
  <c r="I5" i="7"/>
  <c r="H5" i="7"/>
  <c r="J5" i="7" s="1"/>
  <c r="E5" i="7"/>
  <c r="K4" i="7"/>
  <c r="I4" i="7"/>
  <c r="H4" i="7"/>
  <c r="J4" i="7" s="1"/>
  <c r="K46" i="6"/>
  <c r="F46" i="6"/>
  <c r="E46" i="6"/>
  <c r="D46" i="6"/>
  <c r="E45" i="6"/>
  <c r="D45" i="6"/>
  <c r="E44" i="6"/>
  <c r="D44" i="6"/>
  <c r="E43" i="6"/>
  <c r="D43" i="6"/>
  <c r="E42" i="6"/>
  <c r="D42" i="6"/>
  <c r="W38" i="6"/>
  <c r="V38" i="6"/>
  <c r="U38" i="6"/>
  <c r="T38" i="6"/>
  <c r="X38" i="6" s="1"/>
  <c r="S38" i="6"/>
  <c r="X37" i="6"/>
  <c r="X36" i="6"/>
  <c r="D36" i="6"/>
  <c r="D37" i="6" s="1"/>
  <c r="X35" i="6"/>
  <c r="X34" i="6"/>
  <c r="B33" i="6"/>
  <c r="N27" i="6"/>
  <c r="W18" i="6" s="1"/>
  <c r="L27" i="6"/>
  <c r="O18" i="6" s="1"/>
  <c r="K25" i="6"/>
  <c r="N16" i="6" s="1"/>
  <c r="K19" i="6"/>
  <c r="D35" i="6" s="1"/>
  <c r="J19" i="6"/>
  <c r="B35" i="6" s="1"/>
  <c r="B36" i="6" s="1"/>
  <c r="Q18" i="6"/>
  <c r="W17" i="6"/>
  <c r="Q17" i="6"/>
  <c r="W16" i="6"/>
  <c r="Q16" i="6"/>
  <c r="W15" i="6"/>
  <c r="Q15" i="6"/>
  <c r="J7" i="6"/>
  <c r="K28" i="6" s="1"/>
  <c r="B7" i="6"/>
  <c r="K5" i="6"/>
  <c r="E3" i="6"/>
  <c r="K2" i="6"/>
  <c r="G2" i="6"/>
  <c r="G3" i="6" s="1"/>
  <c r="E95" i="5"/>
  <c r="F95" i="5" s="1"/>
  <c r="B95" i="5"/>
  <c r="E94" i="5"/>
  <c r="F94" i="5" s="1"/>
  <c r="B94" i="5"/>
  <c r="F93" i="5"/>
  <c r="E93" i="5"/>
  <c r="B93" i="5"/>
  <c r="E92" i="5"/>
  <c r="F92" i="5" s="1"/>
  <c r="B92" i="5"/>
  <c r="E91" i="5"/>
  <c r="F91" i="5" s="1"/>
  <c r="B91" i="5"/>
  <c r="E90" i="5"/>
  <c r="F90" i="5" s="1"/>
  <c r="B90" i="5"/>
  <c r="F89" i="5"/>
  <c r="E89" i="5"/>
  <c r="B89" i="5"/>
  <c r="E88" i="5"/>
  <c r="F88" i="5" s="1"/>
  <c r="B88" i="5"/>
  <c r="F87" i="5"/>
  <c r="E87" i="5"/>
  <c r="B87" i="5"/>
  <c r="E86" i="5"/>
  <c r="F86" i="5" s="1"/>
  <c r="B86" i="5"/>
  <c r="E85" i="5"/>
  <c r="F85" i="5" s="1"/>
  <c r="B85" i="5"/>
  <c r="F84" i="5"/>
  <c r="E84" i="5"/>
  <c r="B84" i="5"/>
  <c r="F83" i="5"/>
  <c r="E83" i="5"/>
  <c r="B83" i="5"/>
  <c r="B81" i="5"/>
  <c r="N78" i="5"/>
  <c r="D79" i="5" s="1"/>
  <c r="E17" i="5"/>
  <c r="D17" i="5"/>
  <c r="E14" i="5"/>
  <c r="E22" i="5" s="1"/>
  <c r="B14" i="5"/>
  <c r="B22" i="5" s="1"/>
  <c r="L9" i="5"/>
  <c r="K9" i="5"/>
  <c r="I9" i="5"/>
  <c r="H9" i="5"/>
  <c r="F9" i="5"/>
  <c r="E9" i="5"/>
  <c r="C9" i="5"/>
  <c r="B9" i="5"/>
  <c r="M8" i="5"/>
  <c r="E19" i="5" s="1"/>
  <c r="J8" i="5"/>
  <c r="D19" i="5" s="1"/>
  <c r="G8" i="5"/>
  <c r="C19" i="5" s="1"/>
  <c r="D8" i="5"/>
  <c r="B19" i="5" s="1"/>
  <c r="M7" i="5"/>
  <c r="E18" i="5" s="1"/>
  <c r="J7" i="5"/>
  <c r="D18" i="5" s="1"/>
  <c r="G7" i="5"/>
  <c r="C18" i="5" s="1"/>
  <c r="D7" i="5"/>
  <c r="B18" i="5" s="1"/>
  <c r="M6" i="5"/>
  <c r="J6" i="5"/>
  <c r="G6" i="5"/>
  <c r="C17" i="5" s="1"/>
  <c r="D6" i="5"/>
  <c r="M5" i="5"/>
  <c r="E16" i="5" s="1"/>
  <c r="J5" i="5"/>
  <c r="D16" i="5" s="1"/>
  <c r="G5" i="5"/>
  <c r="C16" i="5" s="1"/>
  <c r="D5" i="5"/>
  <c r="B16" i="5" s="1"/>
  <c r="M4" i="5"/>
  <c r="J4" i="5"/>
  <c r="D14" i="5" s="1"/>
  <c r="D22" i="5" s="1"/>
  <c r="G4" i="5"/>
  <c r="C14" i="5" s="1"/>
  <c r="C22" i="5" s="1"/>
  <c r="D4" i="5"/>
  <c r="E103" i="4"/>
  <c r="E102" i="4"/>
  <c r="E101" i="4"/>
  <c r="E100" i="4"/>
  <c r="E99" i="4"/>
  <c r="E98" i="4"/>
  <c r="E97" i="4"/>
  <c r="E96" i="4"/>
  <c r="E95" i="4"/>
  <c r="E94" i="4"/>
  <c r="E93" i="4"/>
  <c r="E92" i="4"/>
  <c r="E91" i="4"/>
  <c r="E90" i="4"/>
  <c r="E89" i="4"/>
  <c r="E88" i="4"/>
  <c r="E87" i="4"/>
  <c r="E86" i="4"/>
  <c r="X85" i="4"/>
  <c r="T85" i="4"/>
  <c r="R85" i="4"/>
  <c r="Y85" i="4" s="1"/>
  <c r="E85" i="4"/>
  <c r="Y84" i="4"/>
  <c r="X84" i="4"/>
  <c r="T84" i="4"/>
  <c r="R84" i="4"/>
  <c r="E84" i="4"/>
  <c r="T83" i="4"/>
  <c r="R83" i="4"/>
  <c r="E83" i="4"/>
  <c r="T82" i="4"/>
  <c r="R82" i="4"/>
  <c r="E82" i="4"/>
  <c r="X81" i="4"/>
  <c r="T81" i="4"/>
  <c r="R81" i="4"/>
  <c r="Y81" i="4" s="1"/>
  <c r="E81" i="4"/>
  <c r="T80" i="4"/>
  <c r="R80" i="4"/>
  <c r="Y80" i="4" s="1"/>
  <c r="E80" i="4"/>
  <c r="AG79" i="4"/>
  <c r="AE79" i="4"/>
  <c r="T79" i="4"/>
  <c r="R79" i="4"/>
  <c r="Y79" i="4" s="1"/>
  <c r="E79" i="4"/>
  <c r="AL78" i="4"/>
  <c r="AK78" i="4"/>
  <c r="AG78" i="4"/>
  <c r="AE78" i="4"/>
  <c r="T78" i="4"/>
  <c r="R78" i="4"/>
  <c r="E78" i="4"/>
  <c r="AL77" i="4"/>
  <c r="AG77" i="4"/>
  <c r="AE77" i="4"/>
  <c r="AK77" i="4" s="1"/>
  <c r="Y77" i="4"/>
  <c r="T77" i="4"/>
  <c r="R77" i="4"/>
  <c r="X77" i="4" s="1"/>
  <c r="E77" i="4"/>
  <c r="AG76" i="4"/>
  <c r="AE76" i="4"/>
  <c r="Y76" i="4"/>
  <c r="T76" i="4"/>
  <c r="R76" i="4"/>
  <c r="X76" i="4" s="1"/>
  <c r="E76" i="4"/>
  <c r="AK75" i="4"/>
  <c r="AG75" i="4"/>
  <c r="AE75" i="4"/>
  <c r="AL75" i="4" s="1"/>
  <c r="T75" i="4"/>
  <c r="R75" i="4"/>
  <c r="E75" i="4"/>
  <c r="AG74" i="4"/>
  <c r="AE74" i="4"/>
  <c r="AL74" i="4" s="1"/>
  <c r="Y74" i="4"/>
  <c r="T74" i="4"/>
  <c r="R74" i="4"/>
  <c r="X74" i="4" s="1"/>
  <c r="E74" i="4"/>
  <c r="AG73" i="4"/>
  <c r="AE73" i="4"/>
  <c r="AL73" i="4" s="1"/>
  <c r="T73" i="4"/>
  <c r="R73" i="4"/>
  <c r="Y73" i="4" s="1"/>
  <c r="L73" i="4"/>
  <c r="E73" i="4"/>
  <c r="AL72" i="4"/>
  <c r="AG72" i="4"/>
  <c r="AE72" i="4"/>
  <c r="AK72" i="4" s="1"/>
  <c r="T72" i="4"/>
  <c r="R72" i="4"/>
  <c r="Y72" i="4" s="1"/>
  <c r="L72" i="4"/>
  <c r="E72" i="4"/>
  <c r="AG71" i="4"/>
  <c r="AE71" i="4"/>
  <c r="AL71" i="4" s="1"/>
  <c r="T71" i="4"/>
  <c r="R71" i="4"/>
  <c r="Y71" i="4" s="1"/>
  <c r="L71" i="4"/>
  <c r="E71" i="4"/>
  <c r="AG70" i="4"/>
  <c r="AE70" i="4"/>
  <c r="AK70" i="4" s="1"/>
  <c r="T70" i="4"/>
  <c r="R70" i="4"/>
  <c r="Y70" i="4" s="1"/>
  <c r="L70" i="4"/>
  <c r="E70" i="4"/>
  <c r="AG69" i="4"/>
  <c r="AE69" i="4"/>
  <c r="AL69" i="4" s="1"/>
  <c r="T69" i="4"/>
  <c r="R69" i="4"/>
  <c r="Y69" i="4" s="1"/>
  <c r="L69" i="4"/>
  <c r="E69" i="4"/>
  <c r="AG68" i="4"/>
  <c r="AE68" i="4"/>
  <c r="AK68" i="4" s="1"/>
  <c r="Y68" i="4"/>
  <c r="X68" i="4"/>
  <c r="U68" i="4"/>
  <c r="T68" i="4"/>
  <c r="L68" i="4"/>
  <c r="E68" i="4"/>
  <c r="AG67" i="4"/>
  <c r="AE67" i="4"/>
  <c r="Y67" i="4"/>
  <c r="T67" i="4"/>
  <c r="R67" i="4"/>
  <c r="X67" i="4" s="1"/>
  <c r="L67" i="4"/>
  <c r="E67" i="4"/>
  <c r="AI66" i="4"/>
  <c r="AG66" i="4"/>
  <c r="AE66" i="4"/>
  <c r="AV10" i="4" s="1"/>
  <c r="T66" i="4"/>
  <c r="R66" i="4"/>
  <c r="Y66" i="4" s="1"/>
  <c r="L66" i="4"/>
  <c r="E66" i="4"/>
  <c r="AI65" i="4"/>
  <c r="AG65" i="4"/>
  <c r="AE65" i="4"/>
  <c r="V65" i="4"/>
  <c r="T65" i="4"/>
  <c r="R65" i="4"/>
  <c r="L65" i="4"/>
  <c r="E65" i="4"/>
  <c r="AI64" i="4"/>
  <c r="AG64" i="4"/>
  <c r="AE64" i="4"/>
  <c r="V64" i="4"/>
  <c r="T64" i="4"/>
  <c r="R64" i="4"/>
  <c r="L64" i="4"/>
  <c r="E64" i="4"/>
  <c r="AI63" i="4"/>
  <c r="AG63" i="4"/>
  <c r="AE63" i="4"/>
  <c r="V63" i="4"/>
  <c r="T63" i="4"/>
  <c r="R63" i="4"/>
  <c r="L63" i="4"/>
  <c r="E63" i="4"/>
  <c r="AI62" i="4"/>
  <c r="AG62" i="4"/>
  <c r="AE62" i="4"/>
  <c r="V62" i="4"/>
  <c r="T62" i="4"/>
  <c r="R62" i="4"/>
  <c r="L62" i="4"/>
  <c r="E62" i="4"/>
  <c r="AI61" i="4"/>
  <c r="AG61" i="4"/>
  <c r="AE61" i="4"/>
  <c r="V61" i="4"/>
  <c r="T61" i="4"/>
  <c r="R61" i="4"/>
  <c r="L61" i="4"/>
  <c r="E61" i="4"/>
  <c r="AI60" i="4"/>
  <c r="AG60" i="4"/>
  <c r="AE60" i="4"/>
  <c r="V60" i="4"/>
  <c r="T60" i="4"/>
  <c r="R60" i="4"/>
  <c r="L60" i="4"/>
  <c r="E60" i="4"/>
  <c r="AI59" i="4"/>
  <c r="AG59" i="4"/>
  <c r="AE59" i="4"/>
  <c r="AZ10" i="4" s="1"/>
  <c r="V59" i="4"/>
  <c r="T59" i="4"/>
  <c r="R59" i="4"/>
  <c r="L59" i="4"/>
  <c r="E59" i="4"/>
  <c r="AI58" i="4"/>
  <c r="AG58" i="4"/>
  <c r="AE58" i="4"/>
  <c r="V58" i="4"/>
  <c r="T58" i="4"/>
  <c r="R58" i="4"/>
  <c r="AO10" i="4" s="1"/>
  <c r="L58" i="4"/>
  <c r="E58" i="4"/>
  <c r="AI57" i="4"/>
  <c r="AG57" i="4"/>
  <c r="AE57" i="4"/>
  <c r="V57" i="4"/>
  <c r="T57" i="4"/>
  <c r="R57" i="4"/>
  <c r="L57" i="4"/>
  <c r="E57" i="4"/>
  <c r="AI56" i="4"/>
  <c r="AG56" i="4"/>
  <c r="AE56" i="4"/>
  <c r="V56" i="4"/>
  <c r="T56" i="4"/>
  <c r="R56" i="4"/>
  <c r="L56" i="4"/>
  <c r="E56" i="4"/>
  <c r="AI55" i="4"/>
  <c r="AG55" i="4"/>
  <c r="AE55" i="4"/>
  <c r="V55" i="4"/>
  <c r="T55" i="4"/>
  <c r="R55" i="4"/>
  <c r="L55" i="4"/>
  <c r="E55" i="4"/>
  <c r="AI54" i="4"/>
  <c r="AG54" i="4"/>
  <c r="AE54" i="4"/>
  <c r="V54" i="4"/>
  <c r="T54" i="4"/>
  <c r="R54" i="4"/>
  <c r="L54" i="4"/>
  <c r="E54" i="4"/>
  <c r="AI53" i="4"/>
  <c r="AG53" i="4"/>
  <c r="AE53" i="4"/>
  <c r="V53" i="4"/>
  <c r="T53" i="4"/>
  <c r="R53" i="4"/>
  <c r="L53" i="4"/>
  <c r="E53" i="4"/>
  <c r="AI52" i="4"/>
  <c r="AG52" i="4"/>
  <c r="AE52" i="4"/>
  <c r="V52" i="4"/>
  <c r="T52" i="4"/>
  <c r="R52" i="4"/>
  <c r="L52" i="4"/>
  <c r="E52" i="4"/>
  <c r="AI51" i="4"/>
  <c r="AG51" i="4"/>
  <c r="AE51" i="4"/>
  <c r="V51" i="4"/>
  <c r="T51" i="4"/>
  <c r="R51" i="4"/>
  <c r="L51" i="4"/>
  <c r="E51" i="4"/>
  <c r="AI50" i="4"/>
  <c r="AG50" i="4"/>
  <c r="AE50" i="4"/>
  <c r="V50" i="4"/>
  <c r="T50" i="4"/>
  <c r="R50" i="4"/>
  <c r="L50" i="4"/>
  <c r="E50" i="4"/>
  <c r="AI49" i="4"/>
  <c r="AG49" i="4"/>
  <c r="AE49" i="4"/>
  <c r="V49" i="4"/>
  <c r="T49" i="4"/>
  <c r="R49" i="4"/>
  <c r="AT9" i="4" s="1"/>
  <c r="L49" i="4"/>
  <c r="E49" i="4"/>
  <c r="AI48" i="4"/>
  <c r="AG48" i="4"/>
  <c r="AE48" i="4"/>
  <c r="V48" i="4"/>
  <c r="T48" i="4"/>
  <c r="R48" i="4"/>
  <c r="L48" i="4"/>
  <c r="E48" i="4"/>
  <c r="AI47" i="4"/>
  <c r="AG47" i="4"/>
  <c r="AE47" i="4"/>
  <c r="V47" i="4"/>
  <c r="T47" i="4"/>
  <c r="L47" i="4"/>
  <c r="E47" i="4"/>
  <c r="AI46" i="4"/>
  <c r="AG46" i="4"/>
  <c r="AE46" i="4"/>
  <c r="V46" i="4"/>
  <c r="T46" i="4"/>
  <c r="L46" i="4"/>
  <c r="E46" i="4"/>
  <c r="AI45" i="4"/>
  <c r="AG45" i="4"/>
  <c r="AE45" i="4"/>
  <c r="V45" i="4"/>
  <c r="T45" i="4"/>
  <c r="L45" i="4"/>
  <c r="E45" i="4"/>
  <c r="AI44" i="4"/>
  <c r="AG44" i="4"/>
  <c r="AE44" i="4"/>
  <c r="AX8" i="4" s="1"/>
  <c r="V44" i="4"/>
  <c r="T44" i="4"/>
  <c r="L44" i="4"/>
  <c r="E44" i="4"/>
  <c r="AI43" i="4"/>
  <c r="AG43" i="4"/>
  <c r="AE43" i="4"/>
  <c r="V43" i="4"/>
  <c r="T43" i="4"/>
  <c r="L43" i="4"/>
  <c r="E43" i="4"/>
  <c r="AI42" i="4"/>
  <c r="AG42" i="4"/>
  <c r="AE42" i="4"/>
  <c r="V42" i="4"/>
  <c r="T42" i="4"/>
  <c r="L42" i="4"/>
  <c r="E42" i="4"/>
  <c r="AI41" i="4"/>
  <c r="AG41" i="4"/>
  <c r="AE41" i="4"/>
  <c r="V41" i="4"/>
  <c r="T41" i="4"/>
  <c r="L41" i="4"/>
  <c r="E41" i="4"/>
  <c r="AI40" i="4"/>
  <c r="AG40" i="4"/>
  <c r="AE40" i="4"/>
  <c r="V40" i="4"/>
  <c r="T40" i="4"/>
  <c r="L40" i="4"/>
  <c r="E40" i="4"/>
  <c r="AI39" i="4"/>
  <c r="AG39" i="4"/>
  <c r="AE39" i="4"/>
  <c r="V39" i="4"/>
  <c r="T39" i="4"/>
  <c r="L39" i="4"/>
  <c r="E39" i="4"/>
  <c r="AJ38" i="4"/>
  <c r="AI38" i="4"/>
  <c r="AG38" i="4"/>
  <c r="AE38" i="4"/>
  <c r="V38" i="4"/>
  <c r="T38" i="4"/>
  <c r="L38" i="4"/>
  <c r="E38" i="4"/>
  <c r="AI37" i="4"/>
  <c r="AG37" i="4"/>
  <c r="AE37" i="4"/>
  <c r="V37" i="4"/>
  <c r="T37" i="4"/>
  <c r="L37" i="4"/>
  <c r="E37" i="4"/>
  <c r="AI36" i="4"/>
  <c r="AG36" i="4"/>
  <c r="AE36" i="4"/>
  <c r="V36" i="4"/>
  <c r="T36" i="4"/>
  <c r="L36" i="4"/>
  <c r="E36" i="4"/>
  <c r="AO35" i="4"/>
  <c r="AI35" i="4"/>
  <c r="AG35" i="4"/>
  <c r="AE35" i="4"/>
  <c r="V35" i="4"/>
  <c r="T35" i="4"/>
  <c r="L35" i="4"/>
  <c r="E35" i="4"/>
  <c r="AO34" i="4"/>
  <c r="AI34" i="4"/>
  <c r="AG34" i="4"/>
  <c r="AE34" i="4"/>
  <c r="V34" i="4"/>
  <c r="T34" i="4"/>
  <c r="L34" i="4"/>
  <c r="E34" i="4"/>
  <c r="AP33" i="4"/>
  <c r="AO33" i="4"/>
  <c r="AI33" i="4"/>
  <c r="AG33" i="4"/>
  <c r="AE33" i="4"/>
  <c r="V33" i="4"/>
  <c r="T33" i="4"/>
  <c r="L33" i="4"/>
  <c r="E33" i="4"/>
  <c r="AI32" i="4"/>
  <c r="AG32" i="4"/>
  <c r="AE32" i="4"/>
  <c r="V32" i="4"/>
  <c r="T32" i="4"/>
  <c r="L32" i="4"/>
  <c r="E32" i="4"/>
  <c r="AI31" i="4"/>
  <c r="AG31" i="4"/>
  <c r="AE31" i="4"/>
  <c r="V31" i="4"/>
  <c r="T31" i="4"/>
  <c r="L31" i="4"/>
  <c r="E31" i="4"/>
  <c r="AI30" i="4"/>
  <c r="AG30" i="4"/>
  <c r="AE30" i="4"/>
  <c r="V30" i="4"/>
  <c r="T30" i="4"/>
  <c r="L30" i="4"/>
  <c r="E30" i="4"/>
  <c r="AI29" i="4"/>
  <c r="AG29" i="4"/>
  <c r="AE29" i="4"/>
  <c r="V29" i="4"/>
  <c r="T29" i="4"/>
  <c r="L29" i="4"/>
  <c r="E29" i="4"/>
  <c r="AI28" i="4"/>
  <c r="AG28" i="4"/>
  <c r="AE28" i="4"/>
  <c r="AZ6" i="4" s="1"/>
  <c r="V28" i="4"/>
  <c r="T28" i="4"/>
  <c r="L28" i="4"/>
  <c r="E28" i="4"/>
  <c r="AI27" i="4"/>
  <c r="AG27" i="4"/>
  <c r="AE27" i="4"/>
  <c r="AV6" i="4" s="1"/>
  <c r="V27" i="4"/>
  <c r="T27" i="4"/>
  <c r="L27" i="4"/>
  <c r="E27" i="4"/>
  <c r="AI26" i="4"/>
  <c r="AG26" i="4"/>
  <c r="AE26" i="4"/>
  <c r="V26" i="4"/>
  <c r="T26" i="4"/>
  <c r="L26" i="4"/>
  <c r="E26" i="4"/>
  <c r="AI25" i="4"/>
  <c r="AG25" i="4"/>
  <c r="AE25" i="4"/>
  <c r="V25" i="4"/>
  <c r="T25" i="4"/>
  <c r="L25" i="4"/>
  <c r="E25" i="4"/>
  <c r="AI24" i="4"/>
  <c r="AG24" i="4"/>
  <c r="AE24" i="4"/>
  <c r="V24" i="4"/>
  <c r="T24" i="4"/>
  <c r="L24" i="4"/>
  <c r="E24" i="4"/>
  <c r="AI23" i="4"/>
  <c r="AG23" i="4"/>
  <c r="AE23" i="4"/>
  <c r="V23" i="4"/>
  <c r="T23" i="4"/>
  <c r="L23" i="4"/>
  <c r="E23" i="4"/>
  <c r="AI22" i="4"/>
  <c r="AG22" i="4"/>
  <c r="AE22" i="4"/>
  <c r="V22" i="4"/>
  <c r="T22" i="4"/>
  <c r="L22" i="4"/>
  <c r="E22" i="4"/>
  <c r="AI21" i="4"/>
  <c r="AG21" i="4"/>
  <c r="AE21" i="4"/>
  <c r="AJ21" i="4" s="1"/>
  <c r="V21" i="4"/>
  <c r="T21" i="4"/>
  <c r="L21" i="4"/>
  <c r="E21" i="4"/>
  <c r="AI20" i="4"/>
  <c r="AG20" i="4"/>
  <c r="AE20" i="4"/>
  <c r="V20" i="4"/>
  <c r="T20" i="4"/>
  <c r="L20" i="4"/>
  <c r="E20" i="4"/>
  <c r="AI19" i="4"/>
  <c r="AG19" i="4"/>
  <c r="AE19" i="4"/>
  <c r="V19" i="4"/>
  <c r="T19" i="4"/>
  <c r="L19" i="4"/>
  <c r="E19" i="4"/>
  <c r="AI18" i="4"/>
  <c r="AG18" i="4"/>
  <c r="AE18" i="4"/>
  <c r="V18" i="4"/>
  <c r="T18" i="4"/>
  <c r="L18" i="4"/>
  <c r="E18" i="4"/>
  <c r="AI17" i="4"/>
  <c r="AG17" i="4"/>
  <c r="AE17" i="4"/>
  <c r="V17" i="4"/>
  <c r="T17" i="4"/>
  <c r="L17" i="4"/>
  <c r="E17" i="4"/>
  <c r="AI16" i="4"/>
  <c r="AG16" i="4"/>
  <c r="AE16" i="4"/>
  <c r="V16" i="4"/>
  <c r="T16" i="4"/>
  <c r="L16" i="4"/>
  <c r="E16" i="4"/>
  <c r="AI15" i="4"/>
  <c r="AG15" i="4"/>
  <c r="AE15" i="4"/>
  <c r="V15" i="4"/>
  <c r="T15" i="4"/>
  <c r="L15" i="4"/>
  <c r="E15" i="4"/>
  <c r="AI14" i="4"/>
  <c r="AG14" i="4"/>
  <c r="AE14" i="4"/>
  <c r="V14" i="4"/>
  <c r="T14" i="4"/>
  <c r="L14" i="4"/>
  <c r="E14" i="4"/>
  <c r="AI13" i="4"/>
  <c r="AG13" i="4"/>
  <c r="AE13" i="4"/>
  <c r="V13" i="4"/>
  <c r="T13" i="4"/>
  <c r="L13" i="4"/>
  <c r="E13" i="4"/>
  <c r="AI12" i="4"/>
  <c r="AG12" i="4"/>
  <c r="AE12" i="4"/>
  <c r="V12" i="4"/>
  <c r="T12" i="4"/>
  <c r="L12" i="4"/>
  <c r="E12" i="4"/>
  <c r="AI11" i="4"/>
  <c r="AG11" i="4"/>
  <c r="AE11" i="4"/>
  <c r="V11" i="4"/>
  <c r="T11" i="4"/>
  <c r="L11" i="4"/>
  <c r="E11" i="4"/>
  <c r="AT10" i="4"/>
  <c r="AS10" i="4"/>
  <c r="AR39" i="4" s="1"/>
  <c r="AR10" i="4"/>
  <c r="AQ39" i="4" s="1"/>
  <c r="AQ10" i="4"/>
  <c r="AP10" i="4"/>
  <c r="AO39" i="4" s="1"/>
  <c r="AI10" i="4"/>
  <c r="AG10" i="4"/>
  <c r="AE10" i="4"/>
  <c r="V10" i="4"/>
  <c r="T10" i="4"/>
  <c r="L10" i="4"/>
  <c r="E10" i="4"/>
  <c r="AY9" i="4"/>
  <c r="AX9" i="4"/>
  <c r="AR9" i="4"/>
  <c r="AI9" i="4"/>
  <c r="AG9" i="4"/>
  <c r="AE9" i="4"/>
  <c r="V9" i="4"/>
  <c r="T9" i="4"/>
  <c r="L9" i="4"/>
  <c r="E9" i="4"/>
  <c r="AY8" i="4"/>
  <c r="AO8" i="4"/>
  <c r="AI8" i="4"/>
  <c r="AG8" i="4"/>
  <c r="AE8" i="4"/>
  <c r="V8" i="4"/>
  <c r="T8" i="4"/>
  <c r="L8" i="4"/>
  <c r="E8" i="4"/>
  <c r="BA7" i="4"/>
  <c r="AW7" i="4"/>
  <c r="AT7" i="4"/>
  <c r="AS7" i="4"/>
  <c r="AR7" i="4"/>
  <c r="AQ7" i="4"/>
  <c r="AP7" i="4"/>
  <c r="AO36" i="4" s="1"/>
  <c r="AO7" i="4"/>
  <c r="AI7" i="4"/>
  <c r="AG7" i="4"/>
  <c r="AE7" i="4"/>
  <c r="V7" i="4"/>
  <c r="T7" i="4"/>
  <c r="L7" i="4"/>
  <c r="E7" i="4"/>
  <c r="AX6" i="4"/>
  <c r="AT6" i="4"/>
  <c r="AS35" i="4" s="1"/>
  <c r="AS6" i="4"/>
  <c r="AR6" i="4"/>
  <c r="AQ6" i="4"/>
  <c r="AP35" i="4" s="1"/>
  <c r="AP6" i="4"/>
  <c r="AO6" i="4"/>
  <c r="AI6" i="4"/>
  <c r="AG6" i="4"/>
  <c r="AE6" i="4"/>
  <c r="V6" i="4"/>
  <c r="T6" i="4"/>
  <c r="R6" i="4"/>
  <c r="L6" i="4"/>
  <c r="E6" i="4"/>
  <c r="AT5" i="4"/>
  <c r="AS5" i="4"/>
  <c r="AR5" i="4"/>
  <c r="AQ5" i="4"/>
  <c r="AP34" i="4" s="1"/>
  <c r="AP5" i="4"/>
  <c r="AO5" i="4"/>
  <c r="AI5" i="4"/>
  <c r="AG5" i="4"/>
  <c r="AE5" i="4"/>
  <c r="V5" i="4"/>
  <c r="T5" i="4"/>
  <c r="R5" i="4"/>
  <c r="L5" i="4"/>
  <c r="E5" i="4"/>
  <c r="AT4" i="4"/>
  <c r="AS33" i="4" s="1"/>
  <c r="AS4" i="4"/>
  <c r="AR4" i="4"/>
  <c r="AQ4" i="4"/>
  <c r="AP4" i="4"/>
  <c r="AO4" i="4"/>
  <c r="AI4" i="4"/>
  <c r="AG4" i="4"/>
  <c r="AE4" i="4"/>
  <c r="AH4" i="4" s="1"/>
  <c r="V4" i="4"/>
  <c r="T4" i="4"/>
  <c r="R4" i="4"/>
  <c r="L4" i="4"/>
  <c r="E4" i="4"/>
  <c r="AI3" i="4"/>
  <c r="AG3" i="4"/>
  <c r="AE3" i="4"/>
  <c r="V3" i="4"/>
  <c r="T3" i="4"/>
  <c r="R3" i="4"/>
  <c r="L3" i="4"/>
  <c r="E3" i="4"/>
  <c r="AI2" i="4"/>
  <c r="AG2" i="4"/>
  <c r="AE2" i="4"/>
  <c r="V2" i="4"/>
  <c r="T2" i="4"/>
  <c r="R2" i="4"/>
  <c r="U62" i="4" s="1"/>
  <c r="L2" i="4"/>
  <c r="E2" i="4"/>
  <c r="E103" i="3"/>
  <c r="E102" i="3"/>
  <c r="E101" i="3"/>
  <c r="E100" i="3"/>
  <c r="E99" i="3"/>
  <c r="E98" i="3"/>
  <c r="E97" i="3"/>
  <c r="E96" i="3"/>
  <c r="E95" i="3"/>
  <c r="E94" i="3"/>
  <c r="E93" i="3"/>
  <c r="E92" i="3"/>
  <c r="E91" i="3"/>
  <c r="E90" i="3"/>
  <c r="AN89" i="3"/>
  <c r="AM89" i="3"/>
  <c r="E89" i="3"/>
  <c r="AN88" i="3"/>
  <c r="AM88" i="3"/>
  <c r="E88" i="3"/>
  <c r="E87" i="3"/>
  <c r="E86" i="3"/>
  <c r="X85" i="3"/>
  <c r="T85" i="3"/>
  <c r="R85" i="3"/>
  <c r="E85" i="3"/>
  <c r="X84" i="3"/>
  <c r="T84" i="3"/>
  <c r="R84" i="3"/>
  <c r="E84" i="3"/>
  <c r="X83" i="3"/>
  <c r="T83" i="3"/>
  <c r="R83" i="3"/>
  <c r="E83" i="3"/>
  <c r="X82" i="3"/>
  <c r="T82" i="3"/>
  <c r="R82" i="3"/>
  <c r="E82" i="3"/>
  <c r="X81" i="3"/>
  <c r="T81" i="3"/>
  <c r="R81" i="3"/>
  <c r="E81" i="3"/>
  <c r="X80" i="3"/>
  <c r="T80" i="3"/>
  <c r="R80" i="3"/>
  <c r="E80" i="3"/>
  <c r="AK79" i="3"/>
  <c r="AG79" i="3"/>
  <c r="AE79" i="3"/>
  <c r="X79" i="3"/>
  <c r="T79" i="3"/>
  <c r="R79" i="3"/>
  <c r="E79" i="3"/>
  <c r="AK78" i="3"/>
  <c r="AG78" i="3"/>
  <c r="AE78" i="3"/>
  <c r="X78" i="3"/>
  <c r="T78" i="3"/>
  <c r="R78" i="3"/>
  <c r="E78" i="3"/>
  <c r="AK77" i="3"/>
  <c r="AG77" i="3"/>
  <c r="AE77" i="3"/>
  <c r="X77" i="3"/>
  <c r="T77" i="3"/>
  <c r="R77" i="3"/>
  <c r="E77" i="3"/>
  <c r="AK76" i="3"/>
  <c r="AG76" i="3"/>
  <c r="AE76" i="3"/>
  <c r="X76" i="3"/>
  <c r="T76" i="3"/>
  <c r="R76" i="3"/>
  <c r="E76" i="3"/>
  <c r="AK75" i="3"/>
  <c r="AG75" i="3"/>
  <c r="AE75" i="3"/>
  <c r="X75" i="3"/>
  <c r="T75" i="3"/>
  <c r="R75" i="3"/>
  <c r="E75" i="3"/>
  <c r="AK74" i="3"/>
  <c r="AG74" i="3"/>
  <c r="AE74" i="3"/>
  <c r="X74" i="3"/>
  <c r="T74" i="3"/>
  <c r="R74" i="3"/>
  <c r="E74" i="3"/>
  <c r="AK73" i="3"/>
  <c r="AG73" i="3"/>
  <c r="AE73" i="3"/>
  <c r="X73" i="3"/>
  <c r="T73" i="3"/>
  <c r="R73" i="3"/>
  <c r="L73" i="3"/>
  <c r="E73" i="3"/>
  <c r="AK72" i="3"/>
  <c r="AG72" i="3"/>
  <c r="AE72" i="3"/>
  <c r="X72" i="3"/>
  <c r="T72" i="3"/>
  <c r="R72" i="3"/>
  <c r="L72" i="3"/>
  <c r="E72" i="3"/>
  <c r="AK71" i="3"/>
  <c r="AG71" i="3"/>
  <c r="AE71" i="3"/>
  <c r="X71" i="3"/>
  <c r="T71" i="3"/>
  <c r="R71" i="3"/>
  <c r="L71" i="3"/>
  <c r="E71" i="3"/>
  <c r="AK70" i="3"/>
  <c r="AG70" i="3"/>
  <c r="AE70" i="3"/>
  <c r="X70" i="3"/>
  <c r="T70" i="3"/>
  <c r="R70" i="3"/>
  <c r="L70" i="3"/>
  <c r="E70" i="3"/>
  <c r="AK69" i="3"/>
  <c r="AG69" i="3"/>
  <c r="AE69" i="3"/>
  <c r="X69" i="3"/>
  <c r="T69" i="3"/>
  <c r="R69" i="3"/>
  <c r="L69" i="3"/>
  <c r="E69" i="3"/>
  <c r="AK68" i="3"/>
  <c r="AG68" i="3"/>
  <c r="AE68" i="3"/>
  <c r="X68" i="3"/>
  <c r="U68" i="3"/>
  <c r="T68" i="3"/>
  <c r="L68" i="3"/>
  <c r="E68" i="3"/>
  <c r="AK67" i="3"/>
  <c r="AG67" i="3"/>
  <c r="AE67" i="3"/>
  <c r="X67" i="3"/>
  <c r="T67" i="3"/>
  <c r="R67" i="3"/>
  <c r="L67" i="3"/>
  <c r="E67" i="3"/>
  <c r="AK66" i="3"/>
  <c r="AI66" i="3"/>
  <c r="AG66" i="3"/>
  <c r="AE66" i="3"/>
  <c r="X66" i="3"/>
  <c r="T66" i="3"/>
  <c r="R66" i="3"/>
  <c r="L66" i="3"/>
  <c r="E66" i="3"/>
  <c r="AK65" i="3"/>
  <c r="AI65" i="3"/>
  <c r="AG65" i="3"/>
  <c r="AE65" i="3"/>
  <c r="X65" i="3"/>
  <c r="V65" i="3"/>
  <c r="T65" i="3"/>
  <c r="R65" i="3"/>
  <c r="L65" i="3"/>
  <c r="E65" i="3"/>
  <c r="AK64" i="3"/>
  <c r="AI64" i="3"/>
  <c r="AG64" i="3"/>
  <c r="AE64" i="3"/>
  <c r="X64" i="3"/>
  <c r="V64" i="3"/>
  <c r="T64" i="3"/>
  <c r="R64" i="3"/>
  <c r="L64" i="3"/>
  <c r="E64" i="3"/>
  <c r="AK63" i="3"/>
  <c r="AI63" i="3"/>
  <c r="AG63" i="3"/>
  <c r="AE63" i="3"/>
  <c r="X63" i="3"/>
  <c r="V63" i="3"/>
  <c r="T63" i="3"/>
  <c r="R63" i="3"/>
  <c r="L63" i="3"/>
  <c r="E63" i="3"/>
  <c r="AK62" i="3"/>
  <c r="AI62" i="3"/>
  <c r="AG62" i="3"/>
  <c r="AE62" i="3"/>
  <c r="X62" i="3"/>
  <c r="V62" i="3"/>
  <c r="T62" i="3"/>
  <c r="R62" i="3"/>
  <c r="L62" i="3"/>
  <c r="E62" i="3"/>
  <c r="AK61" i="3"/>
  <c r="AI61" i="3"/>
  <c r="AG61" i="3"/>
  <c r="AE61" i="3"/>
  <c r="X61" i="3"/>
  <c r="V61" i="3"/>
  <c r="T61" i="3"/>
  <c r="R61" i="3"/>
  <c r="AP10" i="3" s="1"/>
  <c r="L61" i="3"/>
  <c r="E61" i="3"/>
  <c r="AK60" i="3"/>
  <c r="AI60" i="3"/>
  <c r="AG60" i="3"/>
  <c r="AE60" i="3"/>
  <c r="X60" i="3"/>
  <c r="V60" i="3"/>
  <c r="T60" i="3"/>
  <c r="R60" i="3"/>
  <c r="L60" i="3"/>
  <c r="E60" i="3"/>
  <c r="AK59" i="3"/>
  <c r="AI59" i="3"/>
  <c r="AG59" i="3"/>
  <c r="AE59" i="3"/>
  <c r="AW10" i="3" s="1"/>
  <c r="X59" i="3"/>
  <c r="V59" i="3"/>
  <c r="T59" i="3"/>
  <c r="R59" i="3"/>
  <c r="L59" i="3"/>
  <c r="E59" i="3"/>
  <c r="AK58" i="3"/>
  <c r="AI58" i="3"/>
  <c r="AG58" i="3"/>
  <c r="AE58" i="3"/>
  <c r="X58" i="3"/>
  <c r="V58" i="3"/>
  <c r="T58" i="3"/>
  <c r="R58" i="3"/>
  <c r="AQ10" i="3" s="1"/>
  <c r="AP39" i="3" s="1"/>
  <c r="L58" i="3"/>
  <c r="E58" i="3"/>
  <c r="AK57" i="3"/>
  <c r="AI57" i="3"/>
  <c r="AG57" i="3"/>
  <c r="AE57" i="3"/>
  <c r="X57" i="3"/>
  <c r="V57" i="3"/>
  <c r="T57" i="3"/>
  <c r="R57" i="3"/>
  <c r="L57" i="3"/>
  <c r="E57" i="3"/>
  <c r="AK56" i="3"/>
  <c r="AI56" i="3"/>
  <c r="AG56" i="3"/>
  <c r="AE56" i="3"/>
  <c r="X56" i="3"/>
  <c r="V56" i="3"/>
  <c r="T56" i="3"/>
  <c r="R56" i="3"/>
  <c r="L56" i="3"/>
  <c r="E56" i="3"/>
  <c r="AK55" i="3"/>
  <c r="AI55" i="3"/>
  <c r="AG55" i="3"/>
  <c r="AE55" i="3"/>
  <c r="X55" i="3"/>
  <c r="V55" i="3"/>
  <c r="T55" i="3"/>
  <c r="R55" i="3"/>
  <c r="L55" i="3"/>
  <c r="E55" i="3"/>
  <c r="AK54" i="3"/>
  <c r="AI54" i="3"/>
  <c r="AG54" i="3"/>
  <c r="AE54" i="3"/>
  <c r="X54" i="3"/>
  <c r="V54" i="3"/>
  <c r="T54" i="3"/>
  <c r="R54" i="3"/>
  <c r="L54" i="3"/>
  <c r="E54" i="3"/>
  <c r="AK53" i="3"/>
  <c r="AI53" i="3"/>
  <c r="AG53" i="3"/>
  <c r="AE53" i="3"/>
  <c r="X53" i="3"/>
  <c r="V53" i="3"/>
  <c r="T53" i="3"/>
  <c r="R53" i="3"/>
  <c r="L53" i="3"/>
  <c r="E53" i="3"/>
  <c r="AK52" i="3"/>
  <c r="AI52" i="3"/>
  <c r="AG52" i="3"/>
  <c r="AE52" i="3"/>
  <c r="X52" i="3"/>
  <c r="V52" i="3"/>
  <c r="T52" i="3"/>
  <c r="R52" i="3"/>
  <c r="L52" i="3"/>
  <c r="E52" i="3"/>
  <c r="AK51" i="3"/>
  <c r="AI51" i="3"/>
  <c r="AG51" i="3"/>
  <c r="AE51" i="3"/>
  <c r="X51" i="3"/>
  <c r="V51" i="3"/>
  <c r="T51" i="3"/>
  <c r="R51" i="3"/>
  <c r="L51" i="3"/>
  <c r="E51" i="3"/>
  <c r="AK50" i="3"/>
  <c r="AI50" i="3"/>
  <c r="AG50" i="3"/>
  <c r="AE50" i="3"/>
  <c r="X50" i="3"/>
  <c r="V50" i="3"/>
  <c r="T50" i="3"/>
  <c r="R50" i="3"/>
  <c r="L50" i="3"/>
  <c r="E50" i="3"/>
  <c r="AK49" i="3"/>
  <c r="AI49" i="3"/>
  <c r="AG49" i="3"/>
  <c r="AE49" i="3"/>
  <c r="X49" i="3"/>
  <c r="V49" i="3"/>
  <c r="T49" i="3"/>
  <c r="R49" i="3"/>
  <c r="AN9" i="3" s="1"/>
  <c r="AM38" i="3" s="1"/>
  <c r="L49" i="3"/>
  <c r="E49" i="3"/>
  <c r="AK48" i="3"/>
  <c r="AI48" i="3"/>
  <c r="AG48" i="3"/>
  <c r="AE48" i="3"/>
  <c r="X48" i="3"/>
  <c r="V48" i="3"/>
  <c r="T48" i="3"/>
  <c r="R48" i="3"/>
  <c r="L48" i="3"/>
  <c r="E48" i="3"/>
  <c r="AK47" i="3"/>
  <c r="AI47" i="3"/>
  <c r="AG47" i="3"/>
  <c r="AE47" i="3"/>
  <c r="X47" i="3"/>
  <c r="V47" i="3"/>
  <c r="T47" i="3"/>
  <c r="R47" i="3"/>
  <c r="L47" i="3"/>
  <c r="E47" i="3"/>
  <c r="AK46" i="3"/>
  <c r="AI46" i="3"/>
  <c r="AG46" i="3"/>
  <c r="AE46" i="3"/>
  <c r="X46" i="3"/>
  <c r="V46" i="3"/>
  <c r="T46" i="3"/>
  <c r="R46" i="3"/>
  <c r="L46" i="3"/>
  <c r="E46" i="3"/>
  <c r="AK45" i="3"/>
  <c r="AI45" i="3"/>
  <c r="AG45" i="3"/>
  <c r="AE45" i="3"/>
  <c r="X45" i="3"/>
  <c r="V45" i="3"/>
  <c r="T45" i="3"/>
  <c r="R45" i="3"/>
  <c r="L45" i="3"/>
  <c r="E45" i="3"/>
  <c r="AK44" i="3"/>
  <c r="AI44" i="3"/>
  <c r="AG44" i="3"/>
  <c r="AE44" i="3"/>
  <c r="X44" i="3"/>
  <c r="V44" i="3"/>
  <c r="T44" i="3"/>
  <c r="R44" i="3"/>
  <c r="L44" i="3"/>
  <c r="E44" i="3"/>
  <c r="AK43" i="3"/>
  <c r="AI43" i="3"/>
  <c r="AG43" i="3"/>
  <c r="AE43" i="3"/>
  <c r="AX8" i="3" s="1"/>
  <c r="X43" i="3"/>
  <c r="V43" i="3"/>
  <c r="T43" i="3"/>
  <c r="R43" i="3"/>
  <c r="L43" i="3"/>
  <c r="E43" i="3"/>
  <c r="AK42" i="3"/>
  <c r="AI42" i="3"/>
  <c r="AG42" i="3"/>
  <c r="AE42" i="3"/>
  <c r="X42" i="3"/>
  <c r="V42" i="3"/>
  <c r="T42" i="3"/>
  <c r="R42" i="3"/>
  <c r="L42" i="3"/>
  <c r="E42" i="3"/>
  <c r="AK41" i="3"/>
  <c r="AI41" i="3"/>
  <c r="AG41" i="3"/>
  <c r="AE41" i="3"/>
  <c r="X41" i="3"/>
  <c r="V41" i="3"/>
  <c r="T41" i="3"/>
  <c r="R41" i="3"/>
  <c r="AM8" i="3" s="1"/>
  <c r="L41" i="3"/>
  <c r="E41" i="3"/>
  <c r="AK40" i="3"/>
  <c r="AI40" i="3"/>
  <c r="AG40" i="3"/>
  <c r="AE40" i="3"/>
  <c r="X40" i="3"/>
  <c r="V40" i="3"/>
  <c r="T40" i="3"/>
  <c r="R40" i="3"/>
  <c r="L40" i="3"/>
  <c r="E40" i="3"/>
  <c r="AK39" i="3"/>
  <c r="AI39" i="3"/>
  <c r="AG39" i="3"/>
  <c r="AE39" i="3"/>
  <c r="X39" i="3"/>
  <c r="V39" i="3"/>
  <c r="T39" i="3"/>
  <c r="R39" i="3"/>
  <c r="L39" i="3"/>
  <c r="E39" i="3"/>
  <c r="AI38" i="3"/>
  <c r="AG38" i="3"/>
  <c r="AE38" i="3"/>
  <c r="V38" i="3"/>
  <c r="T38" i="3"/>
  <c r="R38" i="3"/>
  <c r="L38" i="3"/>
  <c r="E38" i="3"/>
  <c r="AK37" i="3"/>
  <c r="AI37" i="3"/>
  <c r="AG37" i="3"/>
  <c r="AE37" i="3"/>
  <c r="X37" i="3"/>
  <c r="V37" i="3"/>
  <c r="T37" i="3"/>
  <c r="R37" i="3"/>
  <c r="L37" i="3"/>
  <c r="E37" i="3"/>
  <c r="AK36" i="3"/>
  <c r="AI36" i="3"/>
  <c r="AG36" i="3"/>
  <c r="AE36" i="3"/>
  <c r="AH36" i="3" s="1"/>
  <c r="X36" i="3"/>
  <c r="V36" i="3"/>
  <c r="T36" i="3"/>
  <c r="R36" i="3"/>
  <c r="L36" i="3"/>
  <c r="E36" i="3"/>
  <c r="AK35" i="3"/>
  <c r="AI35" i="3"/>
  <c r="AG35" i="3"/>
  <c r="AE35" i="3"/>
  <c r="X35" i="3"/>
  <c r="V35" i="3"/>
  <c r="T35" i="3"/>
  <c r="R35" i="3"/>
  <c r="L35" i="3"/>
  <c r="E35" i="3"/>
  <c r="AK34" i="3"/>
  <c r="AI34" i="3"/>
  <c r="AG34" i="3"/>
  <c r="AE34" i="3"/>
  <c r="X34" i="3"/>
  <c r="V34" i="3"/>
  <c r="T34" i="3"/>
  <c r="R34" i="3"/>
  <c r="L34" i="3"/>
  <c r="E34" i="3"/>
  <c r="AK33" i="3"/>
  <c r="AI33" i="3"/>
  <c r="AG33" i="3"/>
  <c r="AE33" i="3"/>
  <c r="X33" i="3"/>
  <c r="V33" i="3"/>
  <c r="T33" i="3"/>
  <c r="R33" i="3"/>
  <c r="L33" i="3"/>
  <c r="E33" i="3"/>
  <c r="AK32" i="3"/>
  <c r="AI32" i="3"/>
  <c r="AG32" i="3"/>
  <c r="AE32" i="3"/>
  <c r="X32" i="3"/>
  <c r="V32" i="3"/>
  <c r="T32" i="3"/>
  <c r="R32" i="3"/>
  <c r="L32" i="3"/>
  <c r="E32" i="3"/>
  <c r="AK31" i="3"/>
  <c r="AI31" i="3"/>
  <c r="AG31" i="3"/>
  <c r="AE31" i="3"/>
  <c r="X31" i="3"/>
  <c r="V31" i="3"/>
  <c r="T31" i="3"/>
  <c r="R31" i="3"/>
  <c r="L31" i="3"/>
  <c r="E31" i="3"/>
  <c r="AK30" i="3"/>
  <c r="AI30" i="3"/>
  <c r="AG30" i="3"/>
  <c r="AE30" i="3"/>
  <c r="X30" i="3"/>
  <c r="V30" i="3"/>
  <c r="T30" i="3"/>
  <c r="R30" i="3"/>
  <c r="AN6" i="3" s="1"/>
  <c r="AM35" i="3" s="1"/>
  <c r="L30" i="3"/>
  <c r="E30" i="3"/>
  <c r="AK29" i="3"/>
  <c r="AI29" i="3"/>
  <c r="AG29" i="3"/>
  <c r="AE29" i="3"/>
  <c r="AJ29" i="3" s="1"/>
  <c r="X29" i="3"/>
  <c r="V29" i="3"/>
  <c r="T29" i="3"/>
  <c r="R29" i="3"/>
  <c r="L29" i="3"/>
  <c r="E29" i="3"/>
  <c r="AK28" i="3"/>
  <c r="AI28" i="3"/>
  <c r="AG28" i="3"/>
  <c r="AE28" i="3"/>
  <c r="X28" i="3"/>
  <c r="V28" i="3"/>
  <c r="T28" i="3"/>
  <c r="R28" i="3"/>
  <c r="L28" i="3"/>
  <c r="E28" i="3"/>
  <c r="AK27" i="3"/>
  <c r="AI27" i="3"/>
  <c r="AG27" i="3"/>
  <c r="AE27" i="3"/>
  <c r="AV6" i="3" s="1"/>
  <c r="X27" i="3"/>
  <c r="V27" i="3"/>
  <c r="T27" i="3"/>
  <c r="R27" i="3"/>
  <c r="L27" i="3"/>
  <c r="E27" i="3"/>
  <c r="AK26" i="3"/>
  <c r="AI26" i="3"/>
  <c r="AG26" i="3"/>
  <c r="AE26" i="3"/>
  <c r="X26" i="3"/>
  <c r="V26" i="3"/>
  <c r="T26" i="3"/>
  <c r="R26" i="3"/>
  <c r="L26" i="3"/>
  <c r="E26" i="3"/>
  <c r="AK25" i="3"/>
  <c r="AI25" i="3"/>
  <c r="AG25" i="3"/>
  <c r="AE25" i="3"/>
  <c r="X25" i="3"/>
  <c r="V25" i="3"/>
  <c r="T25" i="3"/>
  <c r="R25" i="3"/>
  <c r="L25" i="3"/>
  <c r="E25" i="3"/>
  <c r="AK24" i="3"/>
  <c r="AI24" i="3"/>
  <c r="AG24" i="3"/>
  <c r="AE24" i="3"/>
  <c r="X24" i="3"/>
  <c r="V24" i="3"/>
  <c r="T24" i="3"/>
  <c r="R24" i="3"/>
  <c r="L24" i="3"/>
  <c r="E24" i="3"/>
  <c r="AK23" i="3"/>
  <c r="AI23" i="3"/>
  <c r="AG23" i="3"/>
  <c r="AE23" i="3"/>
  <c r="AJ23" i="3" s="1"/>
  <c r="X23" i="3"/>
  <c r="V23" i="3"/>
  <c r="T23" i="3"/>
  <c r="R23" i="3"/>
  <c r="L23" i="3"/>
  <c r="E23" i="3"/>
  <c r="AK22" i="3"/>
  <c r="AI22" i="3"/>
  <c r="AG22" i="3"/>
  <c r="AE22" i="3"/>
  <c r="X22" i="3"/>
  <c r="V22" i="3"/>
  <c r="T22" i="3"/>
  <c r="R22" i="3"/>
  <c r="L22" i="3"/>
  <c r="E22" i="3"/>
  <c r="AK21" i="3"/>
  <c r="AI21" i="3"/>
  <c r="AG21" i="3"/>
  <c r="AE21" i="3"/>
  <c r="X21" i="3"/>
  <c r="V21" i="3"/>
  <c r="T21" i="3"/>
  <c r="R21" i="3"/>
  <c r="L21" i="3"/>
  <c r="E21" i="3"/>
  <c r="AK20" i="3"/>
  <c r="AI20" i="3"/>
  <c r="AG20" i="3"/>
  <c r="AE20" i="3"/>
  <c r="X20" i="3"/>
  <c r="V20" i="3"/>
  <c r="T20" i="3"/>
  <c r="R20" i="3"/>
  <c r="L20" i="3"/>
  <c r="E20" i="3"/>
  <c r="AK19" i="3"/>
  <c r="AI19" i="3"/>
  <c r="AG19" i="3"/>
  <c r="AE19" i="3"/>
  <c r="AJ19" i="3" s="1"/>
  <c r="X19" i="3"/>
  <c r="V19" i="3"/>
  <c r="T19" i="3"/>
  <c r="R19" i="3"/>
  <c r="L19" i="3"/>
  <c r="E19" i="3"/>
  <c r="AK18" i="3"/>
  <c r="AI18" i="3"/>
  <c r="AG18" i="3"/>
  <c r="AE18" i="3"/>
  <c r="X18" i="3"/>
  <c r="V18" i="3"/>
  <c r="T18" i="3"/>
  <c r="R18" i="3"/>
  <c r="AO5" i="3" s="1"/>
  <c r="L18" i="3"/>
  <c r="E18" i="3"/>
  <c r="AK17" i="3"/>
  <c r="AI17" i="3"/>
  <c r="AG17" i="3"/>
  <c r="AE17" i="3"/>
  <c r="AJ17" i="3" s="1"/>
  <c r="X17" i="3"/>
  <c r="V17" i="3"/>
  <c r="T17" i="3"/>
  <c r="R17" i="3"/>
  <c r="L17" i="3"/>
  <c r="E17" i="3"/>
  <c r="AK16" i="3"/>
  <c r="AI16" i="3"/>
  <c r="AG16" i="3"/>
  <c r="AE16" i="3"/>
  <c r="X16" i="3"/>
  <c r="V16" i="3"/>
  <c r="T16" i="3"/>
  <c r="R16" i="3"/>
  <c r="L16" i="3"/>
  <c r="E16" i="3"/>
  <c r="AK15" i="3"/>
  <c r="AI15" i="3"/>
  <c r="AG15" i="3"/>
  <c r="AE15" i="3"/>
  <c r="X15" i="3"/>
  <c r="V15" i="3"/>
  <c r="T15" i="3"/>
  <c r="R15" i="3"/>
  <c r="U15" i="3" s="1"/>
  <c r="L15" i="3"/>
  <c r="E15" i="3"/>
  <c r="AK14" i="3"/>
  <c r="AI14" i="3"/>
  <c r="AG14" i="3"/>
  <c r="AE14" i="3"/>
  <c r="X14" i="3"/>
  <c r="V14" i="3"/>
  <c r="T14" i="3"/>
  <c r="R14" i="3"/>
  <c r="L14" i="3"/>
  <c r="E14" i="3"/>
  <c r="AK13" i="3"/>
  <c r="AI13" i="3"/>
  <c r="AG13" i="3"/>
  <c r="AE13" i="3"/>
  <c r="X13" i="3"/>
  <c r="V13" i="3"/>
  <c r="T13" i="3"/>
  <c r="R13" i="3"/>
  <c r="L13" i="3"/>
  <c r="E13" i="3"/>
  <c r="AK12" i="3"/>
  <c r="AI12" i="3"/>
  <c r="AG12" i="3"/>
  <c r="AE12" i="3"/>
  <c r="X12" i="3"/>
  <c r="V12" i="3"/>
  <c r="T12" i="3"/>
  <c r="R12" i="3"/>
  <c r="L12" i="3"/>
  <c r="E12" i="3"/>
  <c r="AK11" i="3"/>
  <c r="AI11" i="3"/>
  <c r="AG11" i="3"/>
  <c r="AE11" i="3"/>
  <c r="X11" i="3"/>
  <c r="V11" i="3"/>
  <c r="T11" i="3"/>
  <c r="R11" i="3"/>
  <c r="L11" i="3"/>
  <c r="E11" i="3"/>
  <c r="AV10" i="3"/>
  <c r="AU10" i="3"/>
  <c r="AK10" i="3"/>
  <c r="AI10" i="3"/>
  <c r="AG10" i="3"/>
  <c r="AE10" i="3"/>
  <c r="X10" i="3"/>
  <c r="V10" i="3"/>
  <c r="T10" i="3"/>
  <c r="R10" i="3"/>
  <c r="W10" i="3" s="1"/>
  <c r="L10" i="3"/>
  <c r="E10" i="3"/>
  <c r="AY9" i="3"/>
  <c r="AW9" i="3"/>
  <c r="AK9" i="3"/>
  <c r="AI9" i="3"/>
  <c r="AG9" i="3"/>
  <c r="AE9" i="3"/>
  <c r="X9" i="3"/>
  <c r="V9" i="3"/>
  <c r="T9" i="3"/>
  <c r="R9" i="3"/>
  <c r="U9" i="3" s="1"/>
  <c r="L9" i="3"/>
  <c r="E9" i="3"/>
  <c r="AU8" i="3"/>
  <c r="AO8" i="3"/>
  <c r="AK8" i="3"/>
  <c r="AI8" i="3"/>
  <c r="AG8" i="3"/>
  <c r="AE8" i="3"/>
  <c r="X8" i="3"/>
  <c r="V8" i="3"/>
  <c r="T8" i="3"/>
  <c r="R8" i="3"/>
  <c r="L8" i="3"/>
  <c r="E8" i="3"/>
  <c r="AR7" i="3"/>
  <c r="AQ7" i="3"/>
  <c r="AO7" i="3"/>
  <c r="AN36" i="3" s="1"/>
  <c r="AN7" i="3"/>
  <c r="AM36" i="3" s="1"/>
  <c r="AK7" i="3"/>
  <c r="AI7" i="3"/>
  <c r="AG7" i="3"/>
  <c r="AE7" i="3"/>
  <c r="X7" i="3"/>
  <c r="V7" i="3"/>
  <c r="T7" i="3"/>
  <c r="R7" i="3"/>
  <c r="AO4" i="3" s="1"/>
  <c r="L7" i="3"/>
  <c r="E7" i="3"/>
  <c r="AW6" i="3"/>
  <c r="AQ6" i="3"/>
  <c r="AP35" i="3" s="1"/>
  <c r="AP6" i="3"/>
  <c r="AK6" i="3"/>
  <c r="AI6" i="3"/>
  <c r="AG6" i="3"/>
  <c r="AE6" i="3"/>
  <c r="X6" i="3"/>
  <c r="V6" i="3"/>
  <c r="T6" i="3"/>
  <c r="R6" i="3"/>
  <c r="L6" i="3"/>
  <c r="E6" i="3"/>
  <c r="AY5" i="3"/>
  <c r="AV5" i="3"/>
  <c r="AP5" i="3"/>
  <c r="AO34" i="3" s="1"/>
  <c r="AK5" i="3"/>
  <c r="AI5" i="3"/>
  <c r="AG5" i="3"/>
  <c r="AE5" i="3"/>
  <c r="AU4" i="3" s="1"/>
  <c r="X5" i="3"/>
  <c r="V5" i="3"/>
  <c r="T5" i="3"/>
  <c r="R5" i="3"/>
  <c r="U5" i="3" s="1"/>
  <c r="L5" i="3"/>
  <c r="E5" i="3"/>
  <c r="AY4" i="3"/>
  <c r="AX4" i="3"/>
  <c r="AK4" i="3"/>
  <c r="AI4" i="3"/>
  <c r="AG4" i="3"/>
  <c r="AE4" i="3"/>
  <c r="AH4" i="3" s="1"/>
  <c r="X4" i="3"/>
  <c r="V4" i="3"/>
  <c r="T4" i="3"/>
  <c r="R4" i="3"/>
  <c r="L4" i="3"/>
  <c r="E4" i="3"/>
  <c r="AW3" i="3"/>
  <c r="AK3" i="3"/>
  <c r="AI3" i="3"/>
  <c r="AG3" i="3"/>
  <c r="AE3" i="3"/>
  <c r="AJ25" i="3" s="1"/>
  <c r="Y3" i="3"/>
  <c r="X3" i="3"/>
  <c r="V3" i="3"/>
  <c r="T3" i="3"/>
  <c r="R3" i="3"/>
  <c r="L3" i="3"/>
  <c r="E3" i="3"/>
  <c r="AK2" i="3"/>
  <c r="AI2" i="3"/>
  <c r="AG2" i="3"/>
  <c r="AE2" i="3"/>
  <c r="AW11" i="3" s="1"/>
  <c r="X2" i="3"/>
  <c r="V2" i="3"/>
  <c r="T2" i="3"/>
  <c r="R2" i="3"/>
  <c r="AN11" i="3" s="1"/>
  <c r="AM40" i="3" s="1"/>
  <c r="L2" i="3"/>
  <c r="E2" i="3"/>
  <c r="J106" i="2"/>
  <c r="J105" i="2"/>
  <c r="J104" i="2"/>
  <c r="J103" i="2"/>
  <c r="J102" i="2"/>
  <c r="J101" i="2"/>
  <c r="J100" i="2"/>
  <c r="J96" i="2"/>
  <c r="J95" i="2"/>
  <c r="J94" i="2"/>
  <c r="J93" i="2"/>
  <c r="J92" i="2"/>
  <c r="J91" i="2"/>
  <c r="J89" i="2"/>
  <c r="J88" i="2"/>
  <c r="J86" i="2"/>
  <c r="J85" i="2"/>
  <c r="J84" i="2"/>
  <c r="E80" i="2"/>
  <c r="J80" i="2" s="1"/>
  <c r="K78" i="2"/>
  <c r="E99" i="2" s="1"/>
  <c r="F78" i="2"/>
  <c r="E77" i="2"/>
  <c r="J77" i="2" s="1"/>
  <c r="E72" i="2"/>
  <c r="F72" i="2" s="1"/>
  <c r="G72" i="2" s="1"/>
  <c r="E71" i="2"/>
  <c r="F71" i="2" s="1"/>
  <c r="G71" i="2" s="1"/>
  <c r="E70" i="2"/>
  <c r="F70" i="2" s="1"/>
  <c r="G70" i="2" s="1"/>
  <c r="F69" i="2"/>
  <c r="G69" i="2" s="1"/>
  <c r="E69" i="2"/>
  <c r="F68" i="2"/>
  <c r="G68" i="2" s="1"/>
  <c r="E68" i="2"/>
  <c r="F67" i="2"/>
  <c r="G67" i="2" s="1"/>
  <c r="E67" i="2"/>
  <c r="E66" i="2"/>
  <c r="F66" i="2" s="1"/>
  <c r="G66" i="2" s="1"/>
  <c r="E65" i="2"/>
  <c r="F65" i="2" s="1"/>
  <c r="G65" i="2" s="1"/>
  <c r="E64" i="2"/>
  <c r="F64" i="2" s="1"/>
  <c r="G64" i="2" s="1"/>
  <c r="E63" i="2"/>
  <c r="F63" i="2" s="1"/>
  <c r="G63" i="2" s="1"/>
  <c r="E62" i="2"/>
  <c r="F62" i="2" s="1"/>
  <c r="G62" i="2" s="1"/>
  <c r="F61" i="2"/>
  <c r="G61" i="2" s="1"/>
  <c r="E61" i="2"/>
  <c r="E60" i="2"/>
  <c r="F60" i="2" s="1"/>
  <c r="G60" i="2" s="1"/>
  <c r="E59" i="2"/>
  <c r="F59" i="2" s="1"/>
  <c r="G59" i="2" s="1"/>
  <c r="G58" i="2"/>
  <c r="E58" i="2"/>
  <c r="F58" i="2" s="1"/>
  <c r="G57" i="2"/>
  <c r="E57" i="2"/>
  <c r="F57" i="2" s="1"/>
  <c r="E56" i="2"/>
  <c r="F56" i="2" s="1"/>
  <c r="G56" i="2" s="1"/>
  <c r="E55" i="2"/>
  <c r="F55" i="2" s="1"/>
  <c r="G55" i="2" s="1"/>
  <c r="E54" i="2"/>
  <c r="F54" i="2" s="1"/>
  <c r="G54" i="2" s="1"/>
  <c r="F53" i="2"/>
  <c r="G53" i="2" s="1"/>
  <c r="E53" i="2"/>
  <c r="F52" i="2"/>
  <c r="G52" i="2" s="1"/>
  <c r="E52" i="2"/>
  <c r="E51" i="2"/>
  <c r="F51" i="2" s="1"/>
  <c r="G51" i="2" s="1"/>
  <c r="E50" i="2"/>
  <c r="F50" i="2" s="1"/>
  <c r="G50" i="2" s="1"/>
  <c r="E49" i="2"/>
  <c r="F49" i="2" s="1"/>
  <c r="G49" i="2" s="1"/>
  <c r="E48" i="2"/>
  <c r="F48" i="2" s="1"/>
  <c r="G48" i="2" s="1"/>
  <c r="E47" i="2"/>
  <c r="F47" i="2" s="1"/>
  <c r="G47" i="2" s="1"/>
  <c r="E46" i="2"/>
  <c r="F46" i="2" s="1"/>
  <c r="G46" i="2" s="1"/>
  <c r="E45" i="2"/>
  <c r="F45" i="2" s="1"/>
  <c r="G45" i="2" s="1"/>
  <c r="E44" i="2"/>
  <c r="F44" i="2" s="1"/>
  <c r="G44" i="2" s="1"/>
  <c r="E43" i="2"/>
  <c r="F43" i="2" s="1"/>
  <c r="G43" i="2" s="1"/>
  <c r="P18" i="2"/>
  <c r="N15" i="2"/>
  <c r="N17" i="2" s="1"/>
  <c r="N18" i="2" s="1"/>
  <c r="P13" i="2"/>
  <c r="K10" i="2"/>
  <c r="H10" i="2"/>
  <c r="M8" i="2"/>
  <c r="M10" i="2" s="1"/>
  <c r="L8" i="2"/>
  <c r="L10" i="2" s="1"/>
  <c r="K8" i="2"/>
  <c r="J8" i="2"/>
  <c r="J10" i="2" s="1"/>
  <c r="I8" i="2"/>
  <c r="I10" i="2" s="1"/>
  <c r="H8" i="2"/>
  <c r="G8" i="2"/>
  <c r="G10" i="2" s="1"/>
  <c r="F8" i="2"/>
  <c r="F10" i="2" s="1"/>
  <c r="E8" i="2"/>
  <c r="E10" i="2" s="1"/>
  <c r="D8" i="2"/>
  <c r="D10" i="2" s="1"/>
  <c r="C8" i="2"/>
  <c r="C10" i="2" s="1"/>
  <c r="B8" i="2"/>
  <c r="B10" i="2" s="1"/>
  <c r="AF3" i="2"/>
  <c r="U10" i="11" l="1"/>
  <c r="U11" i="11"/>
  <c r="U14" i="11"/>
  <c r="U15" i="11"/>
  <c r="G6" i="13"/>
  <c r="F28" i="13"/>
  <c r="K17" i="13" s="1"/>
  <c r="L17" i="13" s="1"/>
  <c r="W2" i="3"/>
  <c r="AH8" i="3"/>
  <c r="U13" i="3"/>
  <c r="U3" i="4"/>
  <c r="AQ11" i="4"/>
  <c r="AJ49" i="4"/>
  <c r="AO3" i="3"/>
  <c r="AM4" i="3"/>
  <c r="AY6" i="3"/>
  <c r="AN10" i="3"/>
  <c r="AM39" i="3" s="1"/>
  <c r="W29" i="3"/>
  <c r="U39" i="3"/>
  <c r="AQ36" i="4"/>
  <c r="AZ8" i="4"/>
  <c r="AO9" i="4"/>
  <c r="X72" i="4"/>
  <c r="L25" i="6"/>
  <c r="L17" i="8"/>
  <c r="E78" i="2"/>
  <c r="J78" i="2" s="1"/>
  <c r="E87" i="2"/>
  <c r="W17" i="3"/>
  <c r="X79" i="4"/>
  <c r="T14" i="8"/>
  <c r="C17" i="9"/>
  <c r="U8" i="11"/>
  <c r="U12" i="11"/>
  <c r="U16" i="11"/>
  <c r="K3" i="13"/>
  <c r="F12" i="13"/>
  <c r="G12" i="13" s="1"/>
  <c r="AN44" i="3"/>
  <c r="AR3" i="3"/>
  <c r="AN5" i="3"/>
  <c r="AM34" i="3" s="1"/>
  <c r="X70" i="4"/>
  <c r="K26" i="6"/>
  <c r="T17" i="6" s="1"/>
  <c r="G98" i="2"/>
  <c r="AT3" i="3"/>
  <c r="U6" i="3"/>
  <c r="AJ27" i="3"/>
  <c r="AX9" i="3"/>
  <c r="AZ3" i="4"/>
  <c r="AS34" i="4"/>
  <c r="AV5" i="4"/>
  <c r="K4" i="6"/>
  <c r="K27" i="6"/>
  <c r="L20" i="8"/>
  <c r="S6" i="11"/>
  <c r="S7" i="11"/>
  <c r="S11" i="11"/>
  <c r="S15" i="11"/>
  <c r="F3" i="13"/>
  <c r="F20" i="13"/>
  <c r="G20" i="13" s="1"/>
  <c r="K4" i="14"/>
  <c r="S16" i="14"/>
  <c r="M24" i="14"/>
  <c r="V15" i="14" s="1"/>
  <c r="L27" i="14"/>
  <c r="AU3" i="3"/>
  <c r="W5" i="3"/>
  <c r="AJ15" i="3"/>
  <c r="U17" i="3"/>
  <c r="AJ21" i="3"/>
  <c r="AM6" i="3"/>
  <c r="AJ34" i="3"/>
  <c r="AJ6" i="4"/>
  <c r="AW6" i="4"/>
  <c r="T16" i="6"/>
  <c r="V17" i="11"/>
  <c r="F8" i="13"/>
  <c r="G8" i="13" s="1"/>
  <c r="F13" i="13"/>
  <c r="G13" i="13" s="1"/>
  <c r="F16" i="13"/>
  <c r="G16" i="13" s="1"/>
  <c r="C2" i="14"/>
  <c r="K5" i="14"/>
  <c r="V17" i="14"/>
  <c r="W21" i="3"/>
  <c r="K6" i="6"/>
  <c r="M27" i="6"/>
  <c r="V18" i="6" s="1"/>
  <c r="L16" i="8"/>
  <c r="S10" i="11"/>
  <c r="S14" i="11"/>
  <c r="F4" i="13"/>
  <c r="G4" i="13" s="1"/>
  <c r="C6" i="14"/>
  <c r="M18" i="14"/>
  <c r="J28" i="14"/>
  <c r="W9" i="3"/>
  <c r="AJ31" i="3"/>
  <c r="AH10" i="3"/>
  <c r="AT6" i="3"/>
  <c r="AM5" i="3"/>
  <c r="AR3" i="4"/>
  <c r="W6" i="4"/>
  <c r="AW8" i="4"/>
  <c r="AP39" i="4"/>
  <c r="AJ40" i="4"/>
  <c r="AL70" i="4"/>
  <c r="L24" i="6"/>
  <c r="N11" i="7"/>
  <c r="W34" i="3"/>
  <c r="E82" i="2"/>
  <c r="AW5" i="3"/>
  <c r="W13" i="3"/>
  <c r="AJ13" i="3"/>
  <c r="AX5" i="3"/>
  <c r="AQ36" i="3"/>
  <c r="W25" i="3"/>
  <c r="AJ33" i="3"/>
  <c r="U46" i="3"/>
  <c r="AP36" i="4"/>
  <c r="W29" i="4"/>
  <c r="AL68" i="4"/>
  <c r="M24" i="6"/>
  <c r="P15" i="6" s="1"/>
  <c r="S9" i="11"/>
  <c r="S13" i="11"/>
  <c r="G14" i="13"/>
  <c r="G21" i="13"/>
  <c r="C3" i="14"/>
  <c r="L25" i="14"/>
  <c r="M28" i="14"/>
  <c r="G42" i="17"/>
  <c r="B50" i="17" s="1"/>
  <c r="B51" i="17" s="1"/>
  <c r="B52" i="17" s="1"/>
  <c r="G59" i="17" s="1"/>
  <c r="I59" i="17" s="1"/>
  <c r="H34" i="17"/>
  <c r="B33" i="17"/>
  <c r="C31" i="17"/>
  <c r="E33" i="17"/>
  <c r="D33" i="17"/>
  <c r="D32" i="17"/>
  <c r="B32" i="17"/>
  <c r="E32" i="17"/>
  <c r="C34" i="17"/>
  <c r="C33" i="17"/>
  <c r="D31" i="17"/>
  <c r="B31" i="17"/>
  <c r="E31" i="17"/>
  <c r="D8" i="17"/>
  <c r="G57" i="17"/>
  <c r="I57" i="17" s="1"/>
  <c r="F59" i="17"/>
  <c r="H59" i="17" s="1"/>
  <c r="D61" i="17"/>
  <c r="E61" i="17"/>
  <c r="G61" i="17" s="1"/>
  <c r="J87" i="2"/>
  <c r="AN33" i="3"/>
  <c r="B11" i="2"/>
  <c r="AY7" i="3"/>
  <c r="AJ38" i="3"/>
  <c r="AV7" i="3"/>
  <c r="AJ51" i="3"/>
  <c r="AJ48" i="3"/>
  <c r="AJ42" i="3"/>
  <c r="AH38" i="3"/>
  <c r="AJ65" i="3"/>
  <c r="AJ61" i="3"/>
  <c r="AJ57" i="3"/>
  <c r="AJ53" i="3"/>
  <c r="AJ45" i="3"/>
  <c r="AH45" i="3"/>
  <c r="W49" i="3"/>
  <c r="U49" i="3"/>
  <c r="AQ9" i="3"/>
  <c r="AJ52" i="3"/>
  <c r="W60" i="3"/>
  <c r="AJ60" i="3"/>
  <c r="AH66" i="3"/>
  <c r="U72" i="3"/>
  <c r="U73" i="3"/>
  <c r="AH78" i="3"/>
  <c r="AH79" i="3"/>
  <c r="G82" i="2"/>
  <c r="J82" i="2" s="1"/>
  <c r="G87" i="2"/>
  <c r="AH46" i="3"/>
  <c r="AH39" i="3"/>
  <c r="AH33" i="3"/>
  <c r="AV3" i="3"/>
  <c r="AJ37" i="3"/>
  <c r="AN45" i="3"/>
  <c r="AO44" i="3"/>
  <c r="AJ36" i="3"/>
  <c r="AJ30" i="3"/>
  <c r="AJ26" i="3"/>
  <c r="AJ22" i="3"/>
  <c r="AJ18" i="3"/>
  <c r="AJ14" i="3"/>
  <c r="AJ10" i="3"/>
  <c r="AQ3" i="3"/>
  <c r="U4" i="3"/>
  <c r="AV4" i="3"/>
  <c r="W6" i="3"/>
  <c r="U8" i="3"/>
  <c r="AV8" i="3"/>
  <c r="AM9" i="3"/>
  <c r="W11" i="3"/>
  <c r="AJ11" i="3"/>
  <c r="AX11" i="3"/>
  <c r="AJ12" i="3"/>
  <c r="AJ16" i="3"/>
  <c r="AJ20" i="3"/>
  <c r="AJ24" i="3"/>
  <c r="AJ28" i="3"/>
  <c r="AJ32" i="3"/>
  <c r="AJ35" i="3"/>
  <c r="AH35" i="3"/>
  <c r="U36" i="3"/>
  <c r="W41" i="3"/>
  <c r="AH42" i="3"/>
  <c r="W44" i="3"/>
  <c r="AP44" i="3"/>
  <c r="AH53" i="3"/>
  <c r="W55" i="3"/>
  <c r="U55" i="3"/>
  <c r="AJ59" i="3"/>
  <c r="AH61" i="3"/>
  <c r="W63" i="3"/>
  <c r="U63" i="3"/>
  <c r="AH67" i="3"/>
  <c r="AH68" i="3"/>
  <c r="U71" i="3"/>
  <c r="AH77" i="3"/>
  <c r="U60" i="3"/>
  <c r="AH70" i="3"/>
  <c r="AH76" i="3"/>
  <c r="U85" i="3"/>
  <c r="E97" i="2"/>
  <c r="G90" i="2"/>
  <c r="G83" i="2"/>
  <c r="G99" i="2"/>
  <c r="J99" i="2" s="1"/>
  <c r="U23" i="3"/>
  <c r="U27" i="3"/>
  <c r="U31" i="3"/>
  <c r="AW8" i="3"/>
  <c r="U52" i="3"/>
  <c r="AH3" i="3"/>
  <c r="AN34" i="3"/>
  <c r="AH7" i="3"/>
  <c r="AT7" i="3"/>
  <c r="AY8" i="3"/>
  <c r="AO9" i="3"/>
  <c r="AN38" i="3" s="1"/>
  <c r="U11" i="3"/>
  <c r="AH12" i="3"/>
  <c r="AH14" i="3"/>
  <c r="AH16" i="3"/>
  <c r="AH18" i="3"/>
  <c r="AH20" i="3"/>
  <c r="AH22" i="3"/>
  <c r="AH24" i="3"/>
  <c r="AH26" i="3"/>
  <c r="AH28" i="3"/>
  <c r="AH30" i="3"/>
  <c r="AH32" i="3"/>
  <c r="U33" i="3"/>
  <c r="W39" i="3"/>
  <c r="W42" i="3"/>
  <c r="U42" i="3"/>
  <c r="W38" i="3"/>
  <c r="W46" i="3"/>
  <c r="W47" i="3"/>
  <c r="AH48" i="3"/>
  <c r="W50" i="3"/>
  <c r="AH51" i="3"/>
  <c r="AJ54" i="3"/>
  <c r="AH54" i="3"/>
  <c r="W57" i="3"/>
  <c r="U58" i="3"/>
  <c r="AH59" i="3"/>
  <c r="AJ62" i="3"/>
  <c r="AH62" i="3"/>
  <c r="AX10" i="3"/>
  <c r="AT10" i="3"/>
  <c r="W65" i="3"/>
  <c r="U66" i="3"/>
  <c r="AH69" i="3"/>
  <c r="AH71" i="3"/>
  <c r="AH72" i="3"/>
  <c r="BF18" i="4"/>
  <c r="U21" i="3"/>
  <c r="E79" i="2"/>
  <c r="J79" i="2" s="1"/>
  <c r="N8" i="2"/>
  <c r="U83" i="3"/>
  <c r="AO43" i="3"/>
  <c r="AP11" i="3"/>
  <c r="AP3" i="3"/>
  <c r="AO42" i="3"/>
  <c r="AN43" i="3"/>
  <c r="U47" i="3"/>
  <c r="U44" i="3"/>
  <c r="AN42" i="3"/>
  <c r="U41" i="3"/>
  <c r="U35" i="3"/>
  <c r="U84" i="3"/>
  <c r="AM11" i="3"/>
  <c r="AM3" i="3"/>
  <c r="U80" i="3"/>
  <c r="U78" i="3"/>
  <c r="U65" i="3"/>
  <c r="U61" i="3"/>
  <c r="U57" i="3"/>
  <c r="U53" i="3"/>
  <c r="W31" i="3"/>
  <c r="W27" i="3"/>
  <c r="W23" i="3"/>
  <c r="W19" i="3"/>
  <c r="W15" i="3"/>
  <c r="AQ11" i="3"/>
  <c r="AH2" i="3"/>
  <c r="W4" i="3"/>
  <c r="AN4" i="3"/>
  <c r="AM33" i="3" s="1"/>
  <c r="W7" i="3"/>
  <c r="AH9" i="3"/>
  <c r="AP9" i="3"/>
  <c r="AO11" i="3"/>
  <c r="AN40" i="3" s="1"/>
  <c r="U12" i="3"/>
  <c r="U14" i="3"/>
  <c r="U16" i="3"/>
  <c r="AQ5" i="3"/>
  <c r="AP34" i="3" s="1"/>
  <c r="U18" i="3"/>
  <c r="U20" i="3"/>
  <c r="U22" i="3"/>
  <c r="U24" i="3"/>
  <c r="U26" i="3"/>
  <c r="U28" i="3"/>
  <c r="AR6" i="3"/>
  <c r="AQ35" i="3" s="1"/>
  <c r="AO6" i="3"/>
  <c r="AN35" i="3" s="1"/>
  <c r="U30" i="3"/>
  <c r="U32" i="3"/>
  <c r="W36" i="3"/>
  <c r="AP42" i="3"/>
  <c r="AH43" i="3"/>
  <c r="U45" i="3"/>
  <c r="AO45" i="3"/>
  <c r="AJ49" i="3"/>
  <c r="W56" i="3"/>
  <c r="AJ56" i="3"/>
  <c r="W64" i="3"/>
  <c r="AJ64" i="3"/>
  <c r="AH74" i="3"/>
  <c r="AH75" i="3"/>
  <c r="U82" i="3"/>
  <c r="AJ9" i="4"/>
  <c r="AH9" i="4"/>
  <c r="AV4" i="4"/>
  <c r="AJ2" i="4"/>
  <c r="AJ15" i="4"/>
  <c r="AJ25" i="4"/>
  <c r="BA5" i="4"/>
  <c r="AH25" i="4"/>
  <c r="AX5" i="4"/>
  <c r="AW5" i="4"/>
  <c r="AH28" i="4"/>
  <c r="U19" i="3"/>
  <c r="U25" i="3"/>
  <c r="U29" i="3"/>
  <c r="U34" i="3"/>
  <c r="AH40" i="3"/>
  <c r="E83" i="2"/>
  <c r="AW4" i="3"/>
  <c r="AH5" i="3"/>
  <c r="AT4" i="3"/>
  <c r="AJ3" i="3"/>
  <c r="AP4" i="3"/>
  <c r="AO33" i="3" s="1"/>
  <c r="AR5" i="3"/>
  <c r="AQ34" i="3" s="1"/>
  <c r="AH6" i="3"/>
  <c r="AJ7" i="3"/>
  <c r="AW7" i="3"/>
  <c r="AP8" i="3"/>
  <c r="AO37" i="3" s="1"/>
  <c r="U10" i="3"/>
  <c r="AR11" i="3"/>
  <c r="AQ40" i="3" s="1"/>
  <c r="AH13" i="3"/>
  <c r="AH15" i="3"/>
  <c r="AH17" i="3"/>
  <c r="AU5" i="3"/>
  <c r="AH19" i="3"/>
  <c r="AH25" i="3"/>
  <c r="AH27" i="3"/>
  <c r="AX6" i="3"/>
  <c r="AH29" i="3"/>
  <c r="AH31" i="3"/>
  <c r="AH34" i="3"/>
  <c r="W35" i="3"/>
  <c r="AH37" i="3"/>
  <c r="AJ39" i="3"/>
  <c r="W40" i="3"/>
  <c r="AJ40" i="3"/>
  <c r="AJ41" i="3"/>
  <c r="AH41" i="3"/>
  <c r="AJ44" i="3"/>
  <c r="AH44" i="3"/>
  <c r="AP45" i="3"/>
  <c r="AJ46" i="3"/>
  <c r="W48" i="3"/>
  <c r="U48" i="3"/>
  <c r="W51" i="3"/>
  <c r="U51" i="3"/>
  <c r="AH52" i="3"/>
  <c r="AJ55" i="3"/>
  <c r="AH57" i="3"/>
  <c r="AR10" i="3"/>
  <c r="AQ39" i="3" s="1"/>
  <c r="W59" i="3"/>
  <c r="U59" i="3"/>
  <c r="AO10" i="3"/>
  <c r="AN39" i="3" s="1"/>
  <c r="AJ63" i="3"/>
  <c r="AH65" i="3"/>
  <c r="W5" i="4"/>
  <c r="U5" i="4"/>
  <c r="AT3" i="4"/>
  <c r="AJ27" i="4"/>
  <c r="U3" i="3"/>
  <c r="W8" i="3"/>
  <c r="E90" i="2"/>
  <c r="G97" i="2"/>
  <c r="AR9" i="3"/>
  <c r="AQ38" i="3" s="1"/>
  <c r="AH21" i="3"/>
  <c r="AH23" i="3"/>
  <c r="E81" i="2"/>
  <c r="U2" i="3"/>
  <c r="AJ2" i="3"/>
  <c r="W3" i="3"/>
  <c r="AM52" i="3"/>
  <c r="AX3" i="3"/>
  <c r="AJ4" i="3"/>
  <c r="AQ4" i="3"/>
  <c r="AT5" i="3"/>
  <c r="AU6" i="3"/>
  <c r="U7" i="3"/>
  <c r="AX7" i="3"/>
  <c r="AJ8" i="3"/>
  <c r="AQ8" i="3"/>
  <c r="AT9" i="3"/>
  <c r="AY10" i="3"/>
  <c r="AH11" i="3"/>
  <c r="AT11" i="3"/>
  <c r="W33" i="3"/>
  <c r="U38" i="3"/>
  <c r="W43" i="3"/>
  <c r="U43" i="3"/>
  <c r="AH49" i="3"/>
  <c r="U56" i="3"/>
  <c r="U64" i="3"/>
  <c r="AJ66" i="3"/>
  <c r="U69" i="3"/>
  <c r="U79" i="3"/>
  <c r="W4" i="4"/>
  <c r="AH11" i="4"/>
  <c r="AJ16" i="4"/>
  <c r="AU7" i="3"/>
  <c r="G81" i="2"/>
  <c r="E98" i="2"/>
  <c r="J98" i="2" s="1"/>
  <c r="AN3" i="3"/>
  <c r="AM32" i="3" s="1"/>
  <c r="AR4" i="3"/>
  <c r="AJ5" i="3"/>
  <c r="AJ6" i="3"/>
  <c r="AR8" i="3"/>
  <c r="AJ9" i="3"/>
  <c r="AV9" i="3"/>
  <c r="AM10" i="3"/>
  <c r="AU11" i="3"/>
  <c r="W12" i="3"/>
  <c r="W14" i="3"/>
  <c r="W16" i="3"/>
  <c r="W18" i="3"/>
  <c r="W20" i="3"/>
  <c r="W22" i="3"/>
  <c r="W24" i="3"/>
  <c r="W26" i="3"/>
  <c r="W28" i="3"/>
  <c r="W30" i="3"/>
  <c r="W32" i="3"/>
  <c r="W37" i="3"/>
  <c r="U37" i="3"/>
  <c r="U40" i="3"/>
  <c r="AJ47" i="3"/>
  <c r="AH47" i="3"/>
  <c r="AJ50" i="3"/>
  <c r="AH50" i="3"/>
  <c r="W53" i="3"/>
  <c r="U54" i="3"/>
  <c r="AH55" i="3"/>
  <c r="AJ58" i="3"/>
  <c r="AH58" i="3"/>
  <c r="W61" i="3"/>
  <c r="U62" i="3"/>
  <c r="AH63" i="3"/>
  <c r="U67" i="3"/>
  <c r="U70" i="3"/>
  <c r="U74" i="3"/>
  <c r="U75" i="3"/>
  <c r="U76" i="3"/>
  <c r="AH78" i="4"/>
  <c r="W3" i="4"/>
  <c r="AH6" i="4"/>
  <c r="AH13" i="4"/>
  <c r="AP43" i="3"/>
  <c r="W45" i="3"/>
  <c r="W54" i="3"/>
  <c r="AH56" i="3"/>
  <c r="W58" i="3"/>
  <c r="AH60" i="3"/>
  <c r="W62" i="3"/>
  <c r="AH64" i="3"/>
  <c r="AQ3" i="4"/>
  <c r="AQ32" i="4" s="1"/>
  <c r="AH5" i="4"/>
  <c r="U7" i="4"/>
  <c r="W9" i="4"/>
  <c r="AJ11" i="4"/>
  <c r="W14" i="4"/>
  <c r="AH17" i="4"/>
  <c r="AJ18" i="4"/>
  <c r="AH18" i="4"/>
  <c r="W19" i="4"/>
  <c r="AH22" i="4"/>
  <c r="AJ23" i="4"/>
  <c r="AH23" i="4"/>
  <c r="AH24" i="4"/>
  <c r="U26" i="4"/>
  <c r="AH33" i="4"/>
  <c r="U39" i="4"/>
  <c r="AH41" i="4"/>
  <c r="AJ42" i="4"/>
  <c r="AJ44" i="4"/>
  <c r="U44" i="4"/>
  <c r="AH50" i="4"/>
  <c r="U52" i="4"/>
  <c r="U53" i="4"/>
  <c r="W54" i="4"/>
  <c r="AH58" i="4"/>
  <c r="U60" i="4"/>
  <c r="U61" i="4"/>
  <c r="W62" i="4"/>
  <c r="AL67" i="4"/>
  <c r="AK67" i="4"/>
  <c r="AH67" i="4"/>
  <c r="U34" i="4"/>
  <c r="AJ35" i="4"/>
  <c r="AH36" i="4"/>
  <c r="AW9" i="4"/>
  <c r="AV9" i="4"/>
  <c r="AJ51" i="4"/>
  <c r="AH51" i="4"/>
  <c r="AJ56" i="4"/>
  <c r="AX10" i="4"/>
  <c r="AW10" i="4"/>
  <c r="AJ59" i="4"/>
  <c r="AH59" i="4"/>
  <c r="AJ64" i="4"/>
  <c r="AH69" i="4"/>
  <c r="AJ5" i="4"/>
  <c r="U6" i="4"/>
  <c r="AH7" i="4"/>
  <c r="AR36" i="4"/>
  <c r="AJ8" i="4"/>
  <c r="W10" i="4"/>
  <c r="AS39" i="4"/>
  <c r="AR11" i="4"/>
  <c r="AQ40" i="4" s="1"/>
  <c r="W15" i="4"/>
  <c r="AJ17" i="4"/>
  <c r="W20" i="4"/>
  <c r="AJ22" i="4"/>
  <c r="W26" i="4"/>
  <c r="U27" i="4"/>
  <c r="AH29" i="4"/>
  <c r="U32" i="4"/>
  <c r="U37" i="4"/>
  <c r="AH39" i="4"/>
  <c r="AH42" i="4"/>
  <c r="AH43" i="4"/>
  <c r="AH44" i="4"/>
  <c r="W46" i="4"/>
  <c r="AR42" i="4"/>
  <c r="W42" i="4"/>
  <c r="W48" i="4"/>
  <c r="AT8" i="4"/>
  <c r="AR43" i="4"/>
  <c r="W43" i="4"/>
  <c r="U48" i="4"/>
  <c r="W41" i="4"/>
  <c r="W40" i="4"/>
  <c r="W39" i="4"/>
  <c r="W38" i="4"/>
  <c r="AR8" i="4"/>
  <c r="W44" i="4"/>
  <c r="W65" i="4"/>
  <c r="W63" i="4"/>
  <c r="W61" i="4"/>
  <c r="W59" i="4"/>
  <c r="W57" i="4"/>
  <c r="W55" i="4"/>
  <c r="W53" i="4"/>
  <c r="W51" i="4"/>
  <c r="AH52" i="4"/>
  <c r="U54" i="4"/>
  <c r="U55" i="4"/>
  <c r="W56" i="4"/>
  <c r="AH60" i="4"/>
  <c r="U63" i="4"/>
  <c r="W64" i="4"/>
  <c r="AJ66" i="4"/>
  <c r="AH71" i="4"/>
  <c r="Y78" i="4"/>
  <c r="X78" i="4"/>
  <c r="U78" i="4"/>
  <c r="U79" i="4"/>
  <c r="B29" i="8"/>
  <c r="B24" i="8"/>
  <c r="B33" i="8"/>
  <c r="B30" i="8"/>
  <c r="B31" i="8" s="1"/>
  <c r="W52" i="3"/>
  <c r="U45" i="4"/>
  <c r="U31" i="4"/>
  <c r="W25" i="4"/>
  <c r="U23" i="4"/>
  <c r="U18" i="4"/>
  <c r="W12" i="4"/>
  <c r="AP11" i="4"/>
  <c r="AO40" i="4" s="1"/>
  <c r="U10" i="4"/>
  <c r="AS3" i="4"/>
  <c r="AR32" i="4" s="1"/>
  <c r="U2" i="4"/>
  <c r="AQ42" i="4"/>
  <c r="W30" i="4"/>
  <c r="U28" i="4"/>
  <c r="W22" i="4"/>
  <c r="U20" i="4"/>
  <c r="W17" i="4"/>
  <c r="U15" i="4"/>
  <c r="AO11" i="4"/>
  <c r="U11" i="4"/>
  <c r="U85" i="4"/>
  <c r="U73" i="4"/>
  <c r="U71" i="4"/>
  <c r="U46" i="4"/>
  <c r="AP42" i="4"/>
  <c r="U42" i="4"/>
  <c r="AQ43" i="4"/>
  <c r="W37" i="4"/>
  <c r="W36" i="4"/>
  <c r="W35" i="4"/>
  <c r="W34" i="4"/>
  <c r="W33" i="4"/>
  <c r="W32" i="4"/>
  <c r="U30" i="4"/>
  <c r="W24" i="4"/>
  <c r="U22" i="4"/>
  <c r="U17" i="4"/>
  <c r="W7" i="4"/>
  <c r="AP3" i="4"/>
  <c r="AO32" i="4" s="1"/>
  <c r="AP43" i="4"/>
  <c r="U43" i="4"/>
  <c r="U81" i="4"/>
  <c r="U74" i="4"/>
  <c r="U47" i="4"/>
  <c r="AV3" i="4"/>
  <c r="AJ4" i="4"/>
  <c r="AW4" i="4"/>
  <c r="AS36" i="4"/>
  <c r="AJ10" i="4"/>
  <c r="AH10" i="4"/>
  <c r="W11" i="4"/>
  <c r="AS11" i="4"/>
  <c r="U12" i="4"/>
  <c r="AH14" i="4"/>
  <c r="U16" i="4"/>
  <c r="AH19" i="4"/>
  <c r="AY5" i="4"/>
  <c r="U21" i="4"/>
  <c r="AJ24" i="4"/>
  <c r="AJ26" i="4"/>
  <c r="AJ28" i="4"/>
  <c r="W31" i="4"/>
  <c r="AJ33" i="4"/>
  <c r="AH34" i="4"/>
  <c r="U40" i="4"/>
  <c r="AJ41" i="4"/>
  <c r="W45" i="4"/>
  <c r="W49" i="4"/>
  <c r="AS9" i="4"/>
  <c r="AR38" i="4" s="1"/>
  <c r="U49" i="4"/>
  <c r="AJ50" i="4"/>
  <c r="AJ53" i="4"/>
  <c r="AH53" i="4"/>
  <c r="AJ58" i="4"/>
  <c r="AJ61" i="4"/>
  <c r="AH61" i="4"/>
  <c r="AH73" i="4"/>
  <c r="U77" i="4"/>
  <c r="U80" i="4"/>
  <c r="B17" i="5"/>
  <c r="D9" i="5"/>
  <c r="AM7" i="3"/>
  <c r="AT8" i="3"/>
  <c r="AV11" i="3"/>
  <c r="AJ43" i="3"/>
  <c r="AH3" i="4"/>
  <c r="AW3" i="4"/>
  <c r="U4" i="4"/>
  <c r="AX4" i="4"/>
  <c r="AZ5" i="4"/>
  <c r="BA6" i="4"/>
  <c r="AV7" i="4"/>
  <c r="U8" i="4"/>
  <c r="AP8" i="4"/>
  <c r="AO37" i="4" s="1"/>
  <c r="AZ9" i="4"/>
  <c r="AY10" i="4"/>
  <c r="AT11" i="4"/>
  <c r="AS40" i="4" s="1"/>
  <c r="U13" i="4"/>
  <c r="W27" i="4"/>
  <c r="AH30" i="4"/>
  <c r="AJ31" i="4"/>
  <c r="AH31" i="4"/>
  <c r="AH32" i="4"/>
  <c r="U35" i="4"/>
  <c r="AJ36" i="4"/>
  <c r="AH37" i="4"/>
  <c r="AJ43" i="4"/>
  <c r="AV8" i="4"/>
  <c r="AJ45" i="4"/>
  <c r="AH45" i="4"/>
  <c r="BA8" i="4"/>
  <c r="AJ46" i="4"/>
  <c r="W47" i="4"/>
  <c r="W50" i="4"/>
  <c r="AH54" i="4"/>
  <c r="U56" i="4"/>
  <c r="U57" i="4"/>
  <c r="AH62" i="4"/>
  <c r="U64" i="4"/>
  <c r="U65" i="4"/>
  <c r="Y75" i="4"/>
  <c r="X75" i="4"/>
  <c r="U75" i="4"/>
  <c r="U50" i="3"/>
  <c r="U81" i="3"/>
  <c r="AX3" i="4"/>
  <c r="AZ4" i="4"/>
  <c r="AR35" i="4"/>
  <c r="AQ35" i="4"/>
  <c r="AJ7" i="4"/>
  <c r="AQ8" i="4"/>
  <c r="AP37" i="4" s="1"/>
  <c r="BA9" i="4"/>
  <c r="AW11" i="4"/>
  <c r="AJ12" i="4"/>
  <c r="AJ14" i="4"/>
  <c r="AH15" i="4"/>
  <c r="W16" i="4"/>
  <c r="AJ19" i="4"/>
  <c r="AH20" i="4"/>
  <c r="W21" i="4"/>
  <c r="AH26" i="4"/>
  <c r="AJ29" i="4"/>
  <c r="U38" i="4"/>
  <c r="AJ39" i="4"/>
  <c r="AH40" i="4"/>
  <c r="AP44" i="4"/>
  <c r="AJ47" i="4"/>
  <c r="AJ52" i="4"/>
  <c r="AJ55" i="4"/>
  <c r="AH55" i="4"/>
  <c r="AJ60" i="4"/>
  <c r="AJ63" i="4"/>
  <c r="AH63" i="4"/>
  <c r="Y83" i="4"/>
  <c r="X83" i="4"/>
  <c r="U83" i="4"/>
  <c r="H43" i="6"/>
  <c r="J43" i="6" s="1"/>
  <c r="G42" i="6"/>
  <c r="I42" i="6" s="1"/>
  <c r="J36" i="6"/>
  <c r="L36" i="6" s="1"/>
  <c r="G44" i="6"/>
  <c r="I44" i="6" s="1"/>
  <c r="H46" i="6"/>
  <c r="H45" i="6"/>
  <c r="J45" i="6" s="1"/>
  <c r="H44" i="6"/>
  <c r="J44" i="6" s="1"/>
  <c r="K34" i="6"/>
  <c r="M34" i="6" s="1"/>
  <c r="J32" i="6"/>
  <c r="L32" i="6" s="1"/>
  <c r="G46" i="6"/>
  <c r="I46" i="6" s="1"/>
  <c r="G45" i="6"/>
  <c r="I45" i="6" s="1"/>
  <c r="J34" i="6"/>
  <c r="L34" i="6" s="1"/>
  <c r="B37" i="6"/>
  <c r="K35" i="6"/>
  <c r="M35" i="6" s="1"/>
  <c r="K33" i="6"/>
  <c r="M33" i="6" s="1"/>
  <c r="J35" i="6"/>
  <c r="L35" i="6" s="1"/>
  <c r="J33" i="6"/>
  <c r="L33" i="6" s="1"/>
  <c r="K36" i="6"/>
  <c r="M36" i="6" s="1"/>
  <c r="G43" i="6"/>
  <c r="I43" i="6" s="1"/>
  <c r="H42" i="6"/>
  <c r="J42" i="6" s="1"/>
  <c r="K32" i="6"/>
  <c r="M32" i="6" s="1"/>
  <c r="U77" i="3"/>
  <c r="W2" i="4"/>
  <c r="AJ3" i="4"/>
  <c r="BA4" i="4"/>
  <c r="AY4" i="4"/>
  <c r="AR34" i="4"/>
  <c r="AQ34" i="4"/>
  <c r="AX7" i="4"/>
  <c r="W8" i="4"/>
  <c r="AS8" i="4"/>
  <c r="AR37" i="4" s="1"/>
  <c r="U9" i="4"/>
  <c r="AP9" i="4"/>
  <c r="AO38" i="4" s="1"/>
  <c r="BA10" i="4"/>
  <c r="AZ11" i="4"/>
  <c r="W13" i="4"/>
  <c r="U14" i="4"/>
  <c r="AH16" i="4"/>
  <c r="U19" i="4"/>
  <c r="AH21" i="4"/>
  <c r="U24" i="4"/>
  <c r="W28" i="4"/>
  <c r="AJ30" i="4"/>
  <c r="U33" i="4"/>
  <c r="AJ34" i="4"/>
  <c r="AH35" i="4"/>
  <c r="U41" i="4"/>
  <c r="AQ44" i="4"/>
  <c r="AH46" i="4"/>
  <c r="U50" i="4"/>
  <c r="U51" i="4"/>
  <c r="W52" i="4"/>
  <c r="AH56" i="4"/>
  <c r="U58" i="4"/>
  <c r="U59" i="4"/>
  <c r="W60" i="4"/>
  <c r="AH64" i="4"/>
  <c r="U66" i="4"/>
  <c r="U70" i="4"/>
  <c r="AL76" i="4"/>
  <c r="AK76" i="4"/>
  <c r="AH76" i="4"/>
  <c r="AL79" i="4"/>
  <c r="AK79" i="4"/>
  <c r="AH79" i="4"/>
  <c r="AY3" i="3"/>
  <c r="AP7" i="3"/>
  <c r="AO36" i="3" s="1"/>
  <c r="AN8" i="3"/>
  <c r="AU9" i="3"/>
  <c r="AY11" i="3"/>
  <c r="AH73" i="3"/>
  <c r="AP45" i="4"/>
  <c r="AY11" i="4"/>
  <c r="AX11" i="4"/>
  <c r="AH74" i="4"/>
  <c r="AV11" i="4"/>
  <c r="AY3" i="4"/>
  <c r="AH2" i="4"/>
  <c r="AH75" i="4"/>
  <c r="AH49" i="4"/>
  <c r="AQ45" i="4"/>
  <c r="AO3" i="4"/>
  <c r="BA3" i="4"/>
  <c r="AR33" i="4"/>
  <c r="AQ33" i="4"/>
  <c r="AY7" i="4"/>
  <c r="AH8" i="4"/>
  <c r="AQ9" i="4"/>
  <c r="AP38" i="4" s="1"/>
  <c r="BA11" i="4"/>
  <c r="AH12" i="4"/>
  <c r="AJ13" i="4"/>
  <c r="W18" i="4"/>
  <c r="AJ20" i="4"/>
  <c r="W23" i="4"/>
  <c r="U25" i="4"/>
  <c r="AH27" i="4"/>
  <c r="AY6" i="4"/>
  <c r="U29" i="4"/>
  <c r="AJ32" i="4"/>
  <c r="U36" i="4"/>
  <c r="AJ37" i="4"/>
  <c r="AH38" i="4"/>
  <c r="AR45" i="4"/>
  <c r="AH48" i="4"/>
  <c r="AJ54" i="4"/>
  <c r="AJ57" i="4"/>
  <c r="AH57" i="4"/>
  <c r="AJ62" i="4"/>
  <c r="AJ65" i="4"/>
  <c r="AH65" i="4"/>
  <c r="AH66" i="4"/>
  <c r="U72" i="4"/>
  <c r="M45" i="6"/>
  <c r="O45" i="6" s="1"/>
  <c r="L44" i="6"/>
  <c r="N44" i="6" s="1"/>
  <c r="L42" i="6"/>
  <c r="N42" i="6" s="1"/>
  <c r="M43" i="6"/>
  <c r="O43" i="6" s="1"/>
  <c r="M42" i="6"/>
  <c r="O42" i="6" s="1"/>
  <c r="M46" i="6"/>
  <c r="O46" i="6" s="1"/>
  <c r="M44" i="6"/>
  <c r="O44" i="6" s="1"/>
  <c r="L43" i="6"/>
  <c r="N43" i="6" s="1"/>
  <c r="L46" i="6"/>
  <c r="N46" i="6" s="1"/>
  <c r="L45" i="6"/>
  <c r="N45" i="6" s="1"/>
  <c r="M9" i="5"/>
  <c r="M41" i="9"/>
  <c r="M37" i="9"/>
  <c r="M36" i="9"/>
  <c r="M43" i="9"/>
  <c r="M38" i="9"/>
  <c r="U40" i="9"/>
  <c r="U44" i="9"/>
  <c r="C21" i="9"/>
  <c r="D21" i="9" s="1"/>
  <c r="B23" i="9" s="1"/>
  <c r="D17" i="9"/>
  <c r="M42" i="9"/>
  <c r="M45" i="9"/>
  <c r="U43" i="9"/>
  <c r="U39" i="9"/>
  <c r="U36" i="9"/>
  <c r="M39" i="9"/>
  <c r="U42" i="9"/>
  <c r="U45" i="9"/>
  <c r="M17" i="14"/>
  <c r="S17" i="14"/>
  <c r="AR44" i="4"/>
  <c r="AJ48" i="4"/>
  <c r="X66" i="4"/>
  <c r="AK69" i="4"/>
  <c r="AK71" i="4"/>
  <c r="AK73" i="4"/>
  <c r="X80" i="4"/>
  <c r="V15" i="6"/>
  <c r="U18" i="6"/>
  <c r="M46" i="9"/>
  <c r="AZ7" i="4"/>
  <c r="W58" i="4"/>
  <c r="U82" i="4"/>
  <c r="G79" i="5"/>
  <c r="M28" i="6"/>
  <c r="J27" i="6"/>
  <c r="J25" i="6"/>
  <c r="J26" i="6"/>
  <c r="J24" i="6"/>
  <c r="K3" i="6"/>
  <c r="M25" i="6"/>
  <c r="J28" i="6"/>
  <c r="U41" i="9"/>
  <c r="U46" i="9"/>
  <c r="AH47" i="4"/>
  <c r="U69" i="4"/>
  <c r="J9" i="5"/>
  <c r="J79" i="5"/>
  <c r="J46" i="6"/>
  <c r="F42" i="9"/>
  <c r="U67" i="4"/>
  <c r="AH68" i="4"/>
  <c r="X69" i="4"/>
  <c r="AH70" i="4"/>
  <c r="X71" i="4"/>
  <c r="AH72" i="4"/>
  <c r="X73" i="4"/>
  <c r="AK74" i="4"/>
  <c r="U76" i="4"/>
  <c r="AH77" i="4"/>
  <c r="X82" i="4"/>
  <c r="U84" i="4"/>
  <c r="M79" i="5"/>
  <c r="N17" i="6"/>
  <c r="L26" i="6"/>
  <c r="L28" i="6"/>
  <c r="L15" i="8"/>
  <c r="L18" i="8"/>
  <c r="L21" i="8"/>
  <c r="C24" i="8"/>
  <c r="C30" i="8"/>
  <c r="C31" i="8" s="1"/>
  <c r="U37" i="9"/>
  <c r="M40" i="9"/>
  <c r="Y82" i="4"/>
  <c r="P18" i="6"/>
  <c r="K24" i="6"/>
  <c r="M26" i="6"/>
  <c r="B7" i="8"/>
  <c r="C33" i="8" s="1"/>
  <c r="L51" i="8"/>
  <c r="L55" i="8"/>
  <c r="M55" i="8" s="1"/>
  <c r="K55" i="8"/>
  <c r="M44" i="9"/>
  <c r="G9" i="5"/>
  <c r="C9" i="9"/>
  <c r="U6" i="11"/>
  <c r="S17" i="11"/>
  <c r="B12" i="12"/>
  <c r="B16" i="12"/>
  <c r="F7" i="13"/>
  <c r="G7" i="13" s="1"/>
  <c r="F19" i="13"/>
  <c r="G19" i="13" s="1"/>
  <c r="V6" i="11"/>
  <c r="C12" i="12"/>
  <c r="C16" i="12"/>
  <c r="C5" i="14"/>
  <c r="P15" i="14"/>
  <c r="T17" i="14"/>
  <c r="L26" i="14"/>
  <c r="K28" i="14"/>
  <c r="U38" i="9"/>
  <c r="U17" i="11"/>
  <c r="B13" i="12"/>
  <c r="B17" i="12"/>
  <c r="C13" i="12"/>
  <c r="C17" i="12"/>
  <c r="B10" i="12"/>
  <c r="B14" i="12"/>
  <c r="F17" i="13"/>
  <c r="G17" i="13" s="1"/>
  <c r="K6" i="14"/>
  <c r="K25" i="14"/>
  <c r="K27" i="14"/>
  <c r="C10" i="12"/>
  <c r="C14" i="12"/>
  <c r="B37" i="14"/>
  <c r="F46" i="14" s="1"/>
  <c r="U7" i="11"/>
  <c r="B11" i="12"/>
  <c r="B15" i="12"/>
  <c r="K24" i="14"/>
  <c r="M25" i="14"/>
  <c r="M27" i="14"/>
  <c r="C11" i="12"/>
  <c r="L24" i="14"/>
  <c r="G58" i="17" l="1"/>
  <c r="I58" i="17" s="1"/>
  <c r="AR49" i="4"/>
  <c r="AN32" i="3"/>
  <c r="F60" i="17"/>
  <c r="H60" i="17" s="1"/>
  <c r="O15" i="6"/>
  <c r="U15" i="6"/>
  <c r="AP37" i="3"/>
  <c r="AO48" i="3"/>
  <c r="F61" i="17"/>
  <c r="F57" i="17"/>
  <c r="H57" i="17" s="1"/>
  <c r="N18" i="6"/>
  <c r="T18" i="6"/>
  <c r="AQ49" i="4"/>
  <c r="AQ33" i="3"/>
  <c r="AO32" i="3"/>
  <c r="G60" i="17"/>
  <c r="I60" i="17" s="1"/>
  <c r="I61" i="17" s="1"/>
  <c r="AQ48" i="4"/>
  <c r="AO49" i="3"/>
  <c r="AO40" i="3"/>
  <c r="F58" i="17"/>
  <c r="H58" i="17" s="1"/>
  <c r="K7" i="13"/>
  <c r="J16" i="13" s="1"/>
  <c r="L16" i="13" s="1"/>
  <c r="AP40" i="3"/>
  <c r="AO39" i="3"/>
  <c r="AP38" i="3"/>
  <c r="AO35" i="3"/>
  <c r="O16" i="6"/>
  <c r="U16" i="6"/>
  <c r="H61" i="17"/>
  <c r="F42" i="14"/>
  <c r="H42" i="14" s="1"/>
  <c r="F44" i="14"/>
  <c r="H44" i="14" s="1"/>
  <c r="G42" i="14"/>
  <c r="I42" i="14" s="1"/>
  <c r="I46" i="14" s="1"/>
  <c r="B25" i="9"/>
  <c r="B29" i="9" s="1"/>
  <c r="B31" i="9" s="1"/>
  <c r="B24" i="9"/>
  <c r="AP32" i="3"/>
  <c r="AQ32" i="3"/>
  <c r="AP49" i="4"/>
  <c r="P18" i="14"/>
  <c r="V18" i="14"/>
  <c r="F45" i="14"/>
  <c r="H45" i="14" s="1"/>
  <c r="F43" i="14"/>
  <c r="H43" i="14" s="1"/>
  <c r="G44" i="14"/>
  <c r="I44" i="14" s="1"/>
  <c r="K4" i="13"/>
  <c r="K5" i="13" s="1"/>
  <c r="M18" i="6"/>
  <c r="S18" i="6"/>
  <c r="G43" i="14"/>
  <c r="I43" i="14" s="1"/>
  <c r="AQ38" i="4"/>
  <c r="J90" i="2"/>
  <c r="J83" i="2"/>
  <c r="B43" i="9"/>
  <c r="D43" i="9"/>
  <c r="M16" i="6"/>
  <c r="S16" i="6"/>
  <c r="V16" i="14"/>
  <c r="P16" i="14"/>
  <c r="P17" i="6"/>
  <c r="V17" i="6"/>
  <c r="C43" i="9"/>
  <c r="AM37" i="3"/>
  <c r="AN37" i="3"/>
  <c r="AS38" i="4"/>
  <c r="B34" i="8"/>
  <c r="C35" i="8" s="1"/>
  <c r="C37" i="8" s="1"/>
  <c r="AN48" i="3"/>
  <c r="AN49" i="3"/>
  <c r="AP36" i="3"/>
  <c r="V16" i="6"/>
  <c r="P16" i="6"/>
  <c r="F24" i="8"/>
  <c r="B38" i="8" s="1"/>
  <c r="AQ37" i="4"/>
  <c r="AS37" i="4"/>
  <c r="J81" i="2"/>
  <c r="L56" i="8"/>
  <c r="M56" i="8" s="1"/>
  <c r="M51" i="8"/>
  <c r="T15" i="6"/>
  <c r="N15" i="6"/>
  <c r="E43" i="9"/>
  <c r="E30" i="8"/>
  <c r="E31" i="8" s="1"/>
  <c r="D30" i="8"/>
  <c r="D31" i="8" s="1"/>
  <c r="AR48" i="4"/>
  <c r="AP32" i="4"/>
  <c r="AQ37" i="3"/>
  <c r="AP33" i="3"/>
  <c r="J97" i="2"/>
  <c r="AP40" i="4"/>
  <c r="M17" i="6"/>
  <c r="S17" i="6"/>
  <c r="AP48" i="4"/>
  <c r="T15" i="14"/>
  <c r="N15" i="14"/>
  <c r="N18" i="14"/>
  <c r="T18" i="14"/>
  <c r="T16" i="14"/>
  <c r="N16" i="14"/>
  <c r="O17" i="6"/>
  <c r="U17" i="6"/>
  <c r="G46" i="14"/>
  <c r="G45" i="14"/>
  <c r="I45" i="14" s="1"/>
  <c r="M15" i="6"/>
  <c r="S15" i="6"/>
  <c r="AR40" i="4"/>
  <c r="AS32" i="4"/>
  <c r="AO38" i="3"/>
  <c r="AP48" i="3"/>
  <c r="AP49" i="3"/>
  <c r="H46" i="14" l="1"/>
  <c r="C38" i="8"/>
  <c r="M20" i="8"/>
  <c r="N20" i="8" s="1"/>
  <c r="O20" i="8" s="1"/>
  <c r="P20" i="8" s="1"/>
  <c r="M22" i="8"/>
  <c r="N22" i="8" s="1"/>
  <c r="O22" i="8" s="1"/>
  <c r="P22" i="8" s="1"/>
  <c r="M19" i="8"/>
  <c r="N19" i="8" s="1"/>
  <c r="O19" i="8" s="1"/>
  <c r="P19" i="8" s="1"/>
  <c r="M13" i="8"/>
  <c r="N13" i="8" s="1"/>
  <c r="O13" i="8" s="1"/>
  <c r="P13" i="8" s="1"/>
  <c r="M18" i="8"/>
  <c r="N18" i="8" s="1"/>
  <c r="O18" i="8" s="1"/>
  <c r="P18" i="8" s="1"/>
  <c r="M12" i="8"/>
  <c r="N12" i="8" s="1"/>
  <c r="O12" i="8" s="1"/>
  <c r="P12" i="8" s="1"/>
  <c r="M21" i="8"/>
  <c r="N21" i="8" s="1"/>
  <c r="O21" i="8" s="1"/>
  <c r="P21" i="8" s="1"/>
  <c r="M17" i="8"/>
  <c r="N17" i="8" s="1"/>
  <c r="O17" i="8" s="1"/>
  <c r="P17" i="8" s="1"/>
  <c r="M15" i="8"/>
  <c r="N15" i="8" s="1"/>
  <c r="O15" i="8" s="1"/>
  <c r="P15" i="8" s="1"/>
  <c r="M16" i="8"/>
  <c r="N16" i="8" s="1"/>
  <c r="O16" i="8" s="1"/>
  <c r="P16" i="8" s="1"/>
  <c r="M14" i="8"/>
  <c r="N14" i="8" s="1"/>
  <c r="O14" i="8" s="1"/>
  <c r="P14" i="8" s="1"/>
  <c r="B35" i="8"/>
  <c r="B37" i="8" s="1"/>
  <c r="E44" i="9"/>
  <c r="C44" i="9"/>
  <c r="J43" i="8"/>
  <c r="B9" i="8" s="1"/>
  <c r="J44" i="8"/>
  <c r="H46" i="8" s="1"/>
  <c r="F43" i="9"/>
  <c r="B44" i="9"/>
  <c r="U21" i="8"/>
  <c r="V21" i="8" s="1"/>
  <c r="U14" i="8"/>
  <c r="V14" i="8" s="1"/>
  <c r="U17" i="8"/>
  <c r="V17" i="8" s="1"/>
  <c r="U22" i="8"/>
  <c r="V22" i="8" s="1"/>
  <c r="U19" i="8"/>
  <c r="V19" i="8" s="1"/>
  <c r="U13" i="8"/>
  <c r="V13" i="8" s="1"/>
  <c r="U18" i="8"/>
  <c r="V18" i="8" s="1"/>
  <c r="U12" i="8"/>
  <c r="V12" i="8" s="1"/>
  <c r="U16" i="8"/>
  <c r="V16" i="8" s="1"/>
  <c r="U20" i="8"/>
  <c r="V20" i="8" s="1"/>
  <c r="U15" i="8"/>
  <c r="V15" i="8" s="1"/>
  <c r="D38" i="8"/>
  <c r="E38" i="8"/>
  <c r="B33" i="9"/>
  <c r="B35" i="9" s="1"/>
  <c r="C35" i="9" s="1"/>
  <c r="D44" i="9" s="1"/>
  <c r="D14" i="8" l="1"/>
  <c r="D11" i="8"/>
  <c r="V36" i="9"/>
  <c r="W36" i="9" s="1"/>
  <c r="X36" i="9" s="1"/>
  <c r="Y36" i="9" s="1"/>
  <c r="V46" i="9"/>
  <c r="W46" i="9" s="1"/>
  <c r="X46" i="9" s="1"/>
  <c r="Y46" i="9" s="1"/>
  <c r="V43" i="9"/>
  <c r="W43" i="9" s="1"/>
  <c r="X43" i="9" s="1"/>
  <c r="Y43" i="9" s="1"/>
  <c r="V45" i="9"/>
  <c r="W45" i="9" s="1"/>
  <c r="X45" i="9" s="1"/>
  <c r="Y45" i="9" s="1"/>
  <c r="V44" i="9"/>
  <c r="W44" i="9" s="1"/>
  <c r="X44" i="9" s="1"/>
  <c r="Y44" i="9" s="1"/>
  <c r="V37" i="9"/>
  <c r="W37" i="9" s="1"/>
  <c r="X37" i="9" s="1"/>
  <c r="Y37" i="9" s="1"/>
  <c r="V39" i="9"/>
  <c r="W39" i="9" s="1"/>
  <c r="X39" i="9" s="1"/>
  <c r="Y39" i="9" s="1"/>
  <c r="V40" i="9"/>
  <c r="W40" i="9" s="1"/>
  <c r="X40" i="9" s="1"/>
  <c r="Y40" i="9" s="1"/>
  <c r="V41" i="9"/>
  <c r="W41" i="9" s="1"/>
  <c r="X41" i="9" s="1"/>
  <c r="Y41" i="9" s="1"/>
  <c r="V42" i="9"/>
  <c r="W42" i="9" s="1"/>
  <c r="X42" i="9" s="1"/>
  <c r="Y42" i="9" s="1"/>
  <c r="V38" i="9"/>
  <c r="W38" i="9" s="1"/>
  <c r="X38" i="9" s="1"/>
  <c r="Y38" i="9" s="1"/>
  <c r="F44" i="9"/>
  <c r="N41" i="9"/>
  <c r="O41" i="9" s="1"/>
  <c r="P41" i="9" s="1"/>
  <c r="Q41" i="9" s="1"/>
  <c r="N40" i="9"/>
  <c r="O40" i="9" s="1"/>
  <c r="P40" i="9" s="1"/>
  <c r="Q40" i="9" s="1"/>
  <c r="N45" i="9"/>
  <c r="O45" i="9" s="1"/>
  <c r="P45" i="9" s="1"/>
  <c r="Q45" i="9" s="1"/>
  <c r="N39" i="9"/>
  <c r="O39" i="9" s="1"/>
  <c r="P39" i="9" s="1"/>
  <c r="Q39" i="9" s="1"/>
  <c r="N37" i="9"/>
  <c r="O37" i="9" s="1"/>
  <c r="P37" i="9" s="1"/>
  <c r="Q37" i="9" s="1"/>
  <c r="N36" i="9"/>
  <c r="O36" i="9" s="1"/>
  <c r="P36" i="9" s="1"/>
  <c r="Q36" i="9" s="1"/>
  <c r="N43" i="9"/>
  <c r="O43" i="9" s="1"/>
  <c r="P43" i="9" s="1"/>
  <c r="Q43" i="9" s="1"/>
  <c r="N44" i="9"/>
  <c r="O44" i="9" s="1"/>
  <c r="P44" i="9" s="1"/>
  <c r="Q44" i="9" s="1"/>
  <c r="N46" i="9"/>
  <c r="O46" i="9" s="1"/>
  <c r="P46" i="9" s="1"/>
  <c r="Q46" i="9" s="1"/>
  <c r="N38" i="9"/>
  <c r="O38" i="9" s="1"/>
  <c r="P38" i="9" s="1"/>
  <c r="Q38" i="9" s="1"/>
  <c r="N42" i="9"/>
  <c r="O42" i="9" s="1"/>
  <c r="P42" i="9" s="1"/>
  <c r="Q42" i="9" s="1"/>
  <c r="B34" i="9"/>
  <c r="C34" i="9" s="1"/>
</calcChain>
</file>

<file path=xl/sharedStrings.xml><?xml version="1.0" encoding="utf-8"?>
<sst xmlns="http://schemas.openxmlformats.org/spreadsheetml/2006/main" count="3691" uniqueCount="1216">
  <si>
    <t>GHG Protocol Category</t>
  </si>
  <si>
    <t>Impact on Footprint</t>
  </si>
  <si>
    <t>Scope 1</t>
  </si>
  <si>
    <t>Natural Gas</t>
  </si>
  <si>
    <t>Fuels</t>
  </si>
  <si>
    <t>Fugitive Emissions</t>
  </si>
  <si>
    <t>Scope 2</t>
  </si>
  <si>
    <t>Electricity</t>
  </si>
  <si>
    <t>Scope 3</t>
  </si>
  <si>
    <t>Purchased Goods &amp; Services</t>
  </si>
  <si>
    <t>Capital Goods</t>
  </si>
  <si>
    <t>Fuel &amp; Energy Related Activities</t>
  </si>
  <si>
    <t>Upstream Transportation &amp; Distribution</t>
  </si>
  <si>
    <t>Waste Generated in Operations</t>
  </si>
  <si>
    <t>Business Travel</t>
  </si>
  <si>
    <t>Employee Comuting</t>
  </si>
  <si>
    <t>Upstream Leased Assets</t>
  </si>
  <si>
    <t>Investments</t>
  </si>
  <si>
    <t>Number of Seats</t>
  </si>
  <si>
    <t>Floor Number</t>
  </si>
  <si>
    <t>Capacity</t>
  </si>
  <si>
    <t>Floor Area</t>
  </si>
  <si>
    <t>Height</t>
  </si>
  <si>
    <t xml:space="preserve">Wall </t>
  </si>
  <si>
    <t>Door</t>
  </si>
  <si>
    <t>Window</t>
  </si>
  <si>
    <t>Floor</t>
  </si>
  <si>
    <t>Roof</t>
  </si>
  <si>
    <t>Total</t>
  </si>
  <si>
    <t xml:space="preserve">Floor 1 </t>
  </si>
  <si>
    <t>Floor 2</t>
  </si>
  <si>
    <t>Floor 3</t>
  </si>
  <si>
    <t>Number of Rooms</t>
  </si>
  <si>
    <t>Total Capacity</t>
  </si>
  <si>
    <t>mm</t>
  </si>
  <si>
    <t>kwh</t>
  </si>
  <si>
    <t>Electricity (kwh)</t>
  </si>
  <si>
    <t>kwh/m2</t>
  </si>
  <si>
    <t>43% gain = 9 chancellors buildings</t>
  </si>
  <si>
    <t>Floor 4</t>
  </si>
  <si>
    <t>Initial</t>
  </si>
  <si>
    <t>Dif</t>
  </si>
  <si>
    <t>Chancellor m2</t>
  </si>
  <si>
    <t>Floor 5</t>
  </si>
  <si>
    <t>height</t>
  </si>
  <si>
    <t>https://www.bathnes.gov.uk/publisher/docs/5E5EEE34AD918764C4B63B17A1675B76/Document-5E5EEE34AD918764C4B63B17A1675B76.pdf</t>
  </si>
  <si>
    <t>https://www.bathnes.gov.uk/publisher/docs/87165DD904FA4148E45FC8D744305DA6/Document-87165DD904FA4148E45FC8D744305DA6.pdf</t>
  </si>
  <si>
    <t>https://www.bathnes.gov.uk/publisher/docs/A697FDBEE7C40F03BD22109B691DF284/Document-A697FDBEE7C40F03BD22109B691DF284.pdf</t>
  </si>
  <si>
    <t>https://www.bathnes.gov.uk/publisher/docs/0284EDA240EDAC5658C22393E04C3FCE/Document-0284EDA240EDAC5658C22393E04C3FCE.pdf</t>
  </si>
  <si>
    <t>https://www.bathnes.gov.uk/publisher/docs/ABBEC2F2436829D6C08A852F40EF407B/Document-ABBEC2F2436829D6C08A852F40EF407B.pdf</t>
  </si>
  <si>
    <t>https://www.bathnes.gov.uk/publisher/docs/82D098D9973A678EBAA68E2A10F3DE6F/Document-82D098D9973A678EBAA68E2A10F3DE6F.pdf</t>
  </si>
  <si>
    <t>Seats</t>
  </si>
  <si>
    <t>length</t>
  </si>
  <si>
    <t>surface area</t>
  </si>
  <si>
    <t>SA/Seats</t>
  </si>
  <si>
    <t>Door #</t>
  </si>
  <si>
    <t>Window Width</t>
  </si>
  <si>
    <t>People to keep at 0</t>
  </si>
  <si>
    <t>Maximum U Value (W/m2k)</t>
  </si>
  <si>
    <t>Wall</t>
  </si>
  <si>
    <t>Rooflight</t>
  </si>
  <si>
    <t>https://www.planningportal.co.uk/applications/building-control-applications/building-control/approved-documents/part-l-conservation-of-fuel-and-power/approved-document-l-conservation-of-fuel-and-power-volume-2-buildings-other-than-dwellings</t>
  </si>
  <si>
    <t>External Surface Area (m2)</t>
  </si>
  <si>
    <t>Registration Plate</t>
  </si>
  <si>
    <t>Bus Route</t>
  </si>
  <si>
    <t>Time Left</t>
  </si>
  <si>
    <t>Time Arrived</t>
  </si>
  <si>
    <t>Total Time</t>
  </si>
  <si>
    <t>Lecture End Time</t>
  </si>
  <si>
    <t>Arrival Rank</t>
  </si>
  <si>
    <t>Total Time Rank</t>
  </si>
  <si>
    <t>Column1</t>
  </si>
  <si>
    <t>Column2</t>
  </si>
  <si>
    <t>Column3</t>
  </si>
  <si>
    <t>Column4</t>
  </si>
  <si>
    <t>Time Rank</t>
  </si>
  <si>
    <t>Arrival Time</t>
  </si>
  <si>
    <t>U1</t>
  </si>
  <si>
    <t>U2</t>
  </si>
  <si>
    <t>cn11 eev</t>
  </si>
  <si>
    <t>yt67 xxf</t>
  </si>
  <si>
    <t>u1</t>
  </si>
  <si>
    <t>ym17 fkb</t>
  </si>
  <si>
    <t>u2</t>
  </si>
  <si>
    <t>mean</t>
  </si>
  <si>
    <t>min</t>
  </si>
  <si>
    <t>Lower Quartile</t>
  </si>
  <si>
    <t>median</t>
  </si>
  <si>
    <t>Upper Quartile</t>
  </si>
  <si>
    <t>max</t>
  </si>
  <si>
    <t>Min</t>
  </si>
  <si>
    <t>Max</t>
  </si>
  <si>
    <t>yx17 nso</t>
  </si>
  <si>
    <t>pa04 cyf</t>
  </si>
  <si>
    <t>sv08 fxr</t>
  </si>
  <si>
    <t>ym17 fkp</t>
  </si>
  <si>
    <t>eev</t>
  </si>
  <si>
    <t>yx66 wev</t>
  </si>
  <si>
    <t>yt67 xka</t>
  </si>
  <si>
    <t>yx66 wfb</t>
  </si>
  <si>
    <t>sn12 ajx</t>
  </si>
  <si>
    <t>yw17 fkb</t>
  </si>
  <si>
    <t>yt67 xjx</t>
  </si>
  <si>
    <t>bj11 xhy</t>
  </si>
  <si>
    <t>yx66 wep</t>
  </si>
  <si>
    <t>sv08 fxz</t>
  </si>
  <si>
    <t>10:25?</t>
  </si>
  <si>
    <t>yx66 wfa</t>
  </si>
  <si>
    <t>ym17 fkj</t>
  </si>
  <si>
    <t>bd12 tby</t>
  </si>
  <si>
    <t>yx66 wew</t>
  </si>
  <si>
    <t>yt67 xkg</t>
  </si>
  <si>
    <t>u</t>
  </si>
  <si>
    <t>yx66 weu</t>
  </si>
  <si>
    <t>yt67 xkh</t>
  </si>
  <si>
    <t>yt67 xkf</t>
  </si>
  <si>
    <t>ym17 fkl</t>
  </si>
  <si>
    <t>All</t>
  </si>
  <si>
    <t>sv08 fxr </t>
  </si>
  <si>
    <t>yx66 wew </t>
  </si>
  <si>
    <t>ym17 fkj </t>
  </si>
  <si>
    <t>Difference Tables</t>
  </si>
  <si>
    <t>bj11 xhy </t>
  </si>
  <si>
    <t>LQ - Min</t>
  </si>
  <si>
    <t>Med - LQ</t>
  </si>
  <si>
    <t>UQ - Med</t>
  </si>
  <si>
    <t>Max - UQ</t>
  </si>
  <si>
    <t>yx66 weu </t>
  </si>
  <si>
    <t>yx67 wep</t>
  </si>
  <si>
    <t>error bars</t>
  </si>
  <si>
    <t xml:space="preserve"> </t>
  </si>
  <si>
    <t>box plot</t>
  </si>
  <si>
    <t>Morning</t>
  </si>
  <si>
    <t>Afternoon</t>
  </si>
  <si>
    <t>Pearson Correlation U1</t>
  </si>
  <si>
    <t>yt67 xkh </t>
  </si>
  <si>
    <t>Pearson Correlation U2</t>
  </si>
  <si>
    <t>Spearman Correlation U1</t>
  </si>
  <si>
    <t>Spearman Correlation U2</t>
  </si>
  <si>
    <t>sv08 fxz </t>
  </si>
  <si>
    <t>u2 </t>
  </si>
  <si>
    <t>Number Of Bus</t>
  </si>
  <si>
    <t>Mean per Hour</t>
  </si>
  <si>
    <t>Median per Hour</t>
  </si>
  <si>
    <t>co2 per hour</t>
  </si>
  <si>
    <t>51.37884583120433, -2.324928045272827</t>
  </si>
  <si>
    <t>51.37911202016946, -2.3252472281455994</t>
  </si>
  <si>
    <t>51.3782441044419, -2.3251540986035413</t>
  </si>
  <si>
    <t>51.37824313348754, -2.325083613395691</t>
  </si>
  <si>
    <t>51.3786660761278, -2.3250866683996008</t>
  </si>
  <si>
    <t>51.378698920351205, -2.325076497359191</t>
  </si>
  <si>
    <t>51.376968368126136, -2.3254169550870007</t>
  </si>
  <si>
    <t>51.37693440536806, -2.325352705884003</t>
  </si>
  <si>
    <t>Down</t>
  </si>
  <si>
    <t>Up</t>
  </si>
  <si>
    <t>51.37694166309372, -2.325351008825869</t>
  </si>
  <si>
    <t>51.37694635903251, -2.3253526580645545</t>
  </si>
  <si>
    <t>51.37607000749799, -2.3243916034698486</t>
  </si>
  <si>
    <t>Length (km)</t>
  </si>
  <si>
    <t>51.373682463561735, -2.3264354467391968</t>
  </si>
  <si>
    <t>51.3760679443575, -2.324419249327372</t>
  </si>
  <si>
    <t>51.37367625883938, -2.326495326924347</t>
  </si>
  <si>
    <t>Junctions</t>
  </si>
  <si>
    <t>51.374409120549835, -2.3290640115737915</t>
  </si>
  <si>
    <t>51.37368945997341, -2.326470055060086</t>
  </si>
  <si>
    <t>51.37249984550733, -2.322355060623067</t>
  </si>
  <si>
    <t>Signal Controlled</t>
  </si>
  <si>
    <t>51.376830111062425, -2.332127094268799</t>
  </si>
  <si>
    <t>51.36650851690069, -2.3189969349364215</t>
  </si>
  <si>
    <t>51.37454020928742, -2.3293867482424013</t>
  </si>
  <si>
    <t>Signals</t>
  </si>
  <si>
    <t>51.37752323414779, -2.334519624710083</t>
  </si>
  <si>
    <t>51.376828436839375, -2.332127094268799</t>
  </si>
  <si>
    <t>51.365953066297685, -2.3197245597839355</t>
  </si>
  <si>
    <t>51.37488250053285, -2.3335778545037833</t>
  </si>
  <si>
    <t>Stops</t>
  </si>
  <si>
    <t>51.377740879328265, -2.3375344276428223</t>
  </si>
  <si>
    <t>51.3653836916824, -2.32185959815979</t>
  </si>
  <si>
    <t>51.37372490013965, -2.341258496358427</t>
  </si>
  <si>
    <t>51.37866837103426, -2.3404043912887573</t>
  </si>
  <si>
    <t>51.363786055698505, -2.3310112953186035</t>
  </si>
  <si>
    <t>51.37449200172871, -2.3449088175063593</t>
  </si>
  <si>
    <t>journeys</t>
  </si>
  <si>
    <t>51.37991392599747, -2.343703508377075</t>
  </si>
  <si>
    <t>51.36290515499863, -2.3390793800354004</t>
  </si>
  <si>
    <t>51.375266404956996, -2.3497659880580635</t>
  </si>
  <si>
    <t>51.380918381118086, -2.345650792121887</t>
  </si>
  <si>
    <t>51.36251983960058, -2.342455016748235</t>
  </si>
  <si>
    <t>51.37646246879975, -2.353187385768949</t>
  </si>
  <si>
    <t>51.38278603752773, -2.3489570815481686</t>
  </si>
  <si>
    <t>51.362486344661235, -2.3448636404436085</t>
  </si>
  <si>
    <t>51.376827450895696, -2.3530210888100256</t>
  </si>
  <si>
    <t>51.38327876388485, -2.350253462791443</t>
  </si>
  <si>
    <t>51.38278180614305, -2.3489864755872913</t>
  </si>
  <si>
    <t>51.362087753002804, -2.3461189142625782</t>
  </si>
  <si>
    <t>51.37707188681911, -2.3526509439659704</t>
  </si>
  <si>
    <t>51.383181101046574, -2.3499602277197384</t>
  </si>
  <si>
    <t>51.36115828248585, -2.348841256715184</t>
  </si>
  <si>
    <t>51.37682075400271, -2.355687204570829</t>
  </si>
  <si>
    <t>Journeys per Day</t>
  </si>
  <si>
    <t>51.38401238313239, -2.3512381062467336</t>
  </si>
  <si>
    <t>51.384015802494666, -2.3512188470984174</t>
  </si>
  <si>
    <t>51.36043476483808, -2.351040668107396</t>
  </si>
  <si>
    <t>51.376624306399975, -2.3563769563352532</t>
  </si>
  <si>
    <t>51.381029916738484, -2.3512585882894155</t>
  </si>
  <si>
    <t>51.38098716733399, -2.3512499858030522</t>
  </si>
  <si>
    <t>51.359999308892704, -2.353274243641983</t>
  </si>
  <si>
    <t>51.376578976919625, -2.3568570613861084</t>
  </si>
  <si>
    <t>Signalled Controlled Junctions</t>
  </si>
  <si>
    <t>51.379562361497555, -2.3510849475860596</t>
  </si>
  <si>
    <t>51.38077608464952, -2.356669306755066</t>
  </si>
  <si>
    <t>51.35917892926299, -2.357274082382843</t>
  </si>
  <si>
    <t>51.37695491383397, -2.359157034835042</t>
  </si>
  <si>
    <t>51.37849091017617, -2.351047396659851</t>
  </si>
  <si>
    <t>51.38082146466375, -2.3571267724445955</t>
  </si>
  <si>
    <t>51.358910949516314, -2.3592428237997742</t>
  </si>
  <si>
    <t>51.37777192515224, -2.360583970030965</t>
  </si>
  <si>
    <t>51.377319507203836, -2.3525106577039034</t>
  </si>
  <si>
    <t>51.37959814009053, -2.3570434468844836</t>
  </si>
  <si>
    <t>51.358334039021685, -2.362989585640438</t>
  </si>
  <si>
    <t>51.3786306467844, -2.361168714255746</t>
  </si>
  <si>
    <t>Fuel Used</t>
  </si>
  <si>
    <t>51.376874166473755, -2.3554148483341253</t>
  </si>
  <si>
    <t>51.37797767270905, -2.356956901106899</t>
  </si>
  <si>
    <t>51.35696975355858, -2.367933253763108</t>
  </si>
  <si>
    <t>51.37889851114832, -2.361163349837716</t>
  </si>
  <si>
    <t>51.376606290263574, -2.356423358923725</t>
  </si>
  <si>
    <t>51.37786979175485, -2.3576965928077698</t>
  </si>
  <si>
    <t>51.356914228538265, -2.3715944986337267</t>
  </si>
  <si>
    <t>51.37891190432536, -2.3604230601496057</t>
  </si>
  <si>
    <t>Fuel Used /km</t>
  </si>
  <si>
    <t>51.37793414398089, -2.357860396958933</t>
  </si>
  <si>
    <t>51.357115222256276, -2.372184584617003</t>
  </si>
  <si>
    <t>51.378483320716086, -2.3599080760187463</t>
  </si>
  <si>
    <t>51.37696112325187, -2.359189607174408</t>
  </si>
  <si>
    <t>51.37796949364813, -2.358323302292238</t>
  </si>
  <si>
    <t>51.35772659009144, -2.3740607500076294</t>
  </si>
  <si>
    <t>51.378108306766165, -2.359714956969674</t>
  </si>
  <si>
    <t>51.37778510244269, -2.362719995904783</t>
  </si>
  <si>
    <t>51.37804085433602, -2.3596699480853744</t>
  </si>
  <si>
    <t>51.358135814454194, -2.3751578475458657</t>
  </si>
  <si>
    <t>51.378079064401604, -2.359018921852112</t>
  </si>
  <si>
    <t>51.378499280986816, -2.3663628101348877</t>
  </si>
  <si>
    <t>51.37782823314168, -2.360203707679338</t>
  </si>
  <si>
    <t>51.358406371551, -2.375669096710049</t>
  </si>
  <si>
    <t>51.37797437246803, -2.3584060389704065</t>
  </si>
  <si>
    <t>51.37965951905715, -2.3706742911452983</t>
  </si>
  <si>
    <t>51.37866399839041, -2.361222224170405</t>
  </si>
  <si>
    <t>51.35881169477504, -2.3764576661604275</t>
  </si>
  <si>
    <t>51.3779576306532, -2.3580627162165</t>
  </si>
  <si>
    <t>51.37999428321833, -2.3716360330581665</t>
  </si>
  <si>
    <t>51.378861548366594, -2.3611605333630625</t>
  </si>
  <si>
    <t>51.35997924545264, -2.378918042710243</t>
  </si>
  <si>
    <t>51.377947585561365, -2.3570756632990197</t>
  </si>
  <si>
    <t>51.380584503712285, -2.3729217513015377</t>
  </si>
  <si>
    <t>51.379120390866525, -2.362905442714691</t>
  </si>
  <si>
    <t>51.3602997724345, -2.3797583897458408</t>
  </si>
  <si>
    <t>51.37849671401462, -2.3570863921350793</t>
  </si>
  <si>
    <t>51.381120208004575, -2.3741716607024776</t>
  </si>
  <si>
    <t>51.38045026207812, -2.3629808060113544</t>
  </si>
  <si>
    <t>51.361513195439066, -2.382982137288494</t>
  </si>
  <si>
    <t>51.379528549129965, -2.357123041212812</t>
  </si>
  <si>
    <t>51.38037597809073, -2.374945878982544</t>
  </si>
  <si>
    <t>51.38094073997204, -2.364248685876331</t>
  </si>
  <si>
    <t>51.36186824809369, -2.3841944957632255</t>
  </si>
  <si>
    <t>51.38078747331462, -2.357219600737348</t>
  </si>
  <si>
    <t>51.37763038267365, -2.3734867572784424</t>
  </si>
  <si>
    <t>51.381512294094094, -2.365722190876407</t>
  </si>
  <si>
    <t>51.36220989993642, -2.3852244640249443</t>
  </si>
  <si>
    <t>51.38145603023887, -2.3575335268191577</t>
  </si>
  <si>
    <t>51.377245316489926, -2.3711371421813965</t>
  </si>
  <si>
    <t>51.381053069878234, -2.366202216611708</t>
  </si>
  <si>
    <t>51.364404000166225, -2.3919264915245964</t>
  </si>
  <si>
    <t>51.381643523884165, -2.3583167318515064</t>
  </si>
  <si>
    <t>51.378868489941, -2.368488005137026</t>
  </si>
  <si>
    <t>51.38054840937967, -2.366279661655426</t>
  </si>
  <si>
    <t>51.36564994324536, -2.3940722587365104</t>
  </si>
  <si>
    <t>51.382046692748254, -2.3591583967208862</t>
  </si>
  <si>
    <t>51.37872194398829, -2.367575168609619</t>
  </si>
  <si>
    <t>51.379193603840726, -2.3624656921552845</t>
  </si>
  <si>
    <t>51.36615902851193, -2.3929242732781364</t>
  </si>
  <si>
    <t>51.38248498129416, -2.359242608804253</t>
  </si>
  <si>
    <t>51.37849091017617, -2.365504503250122</t>
  </si>
  <si>
    <t>51.37890469312932, -2.361092026009932</t>
  </si>
  <si>
    <t>51.36712863501785, -2.3905080556869507</t>
  </si>
  <si>
    <t>51.38307983482713, -2.3593820836730273</t>
  </si>
  <si>
    <t>51.37785359711178, -2.362872758040504</t>
  </si>
  <si>
    <t>51.37890636727644, -2.360402698293105</t>
  </si>
  <si>
    <t>51.36797679349544, -2.387537199308827</t>
  </si>
  <si>
    <t>51.38346625006317, -2.359936237335205</t>
  </si>
  <si>
    <t>51.37747857800272, -2.361424365172462</t>
  </si>
  <si>
    <t>51.3784713220363, -2.3598815560387543</t>
  </si>
  <si>
    <t>51.368238022052, -2.3874245465302013</t>
  </si>
  <si>
    <t>51.38512792359858, -2.36076878316714</t>
  </si>
  <si>
    <t>51.3770075783592, -2.3578065633773804</t>
  </si>
  <si>
    <t>51.37809242283586, -2.359718476515309</t>
  </si>
  <si>
    <t>51.370799355018285, -2.385877030408594</t>
  </si>
  <si>
    <t>51.38630188484939, -2.361384630203247</t>
  </si>
  <si>
    <t>51.376749431094325, -2.3563923782902463</t>
  </si>
  <si>
    <t>51.37805812234825, -2.359002334336051</t>
  </si>
  <si>
    <t>51.372396601438304, -2.3846266541979233</t>
  </si>
  <si>
    <t>51.38734261677426, -2.36146843307375</t>
  </si>
  <si>
    <t>51.376859929875444, -2.3557432837086423</t>
  </si>
  <si>
    <t>51.37798864390382, -2.358385426262626</t>
  </si>
  <si>
    <t>51.374084350582095, -2.383237269928209</t>
  </si>
  <si>
    <t>51.38766105245098, -2.363364100456238</t>
  </si>
  <si>
    <t>51.37726174137651, -2.352926964243005</t>
  </si>
  <si>
    <t>51.377955160278496, -2.3579240863120643</t>
  </si>
  <si>
    <t>51.37488943795035, -2.3866917916550645</t>
  </si>
  <si>
    <t>51.3880862025003, -2.3662394285202026</t>
  </si>
  <si>
    <t>51.37827326856186, -2.351347804069519</t>
  </si>
  <si>
    <t>51.37794009263911, -2.3570496861732093</t>
  </si>
  <si>
    <t>51.37637840539949, -2.388641641564837</t>
  </si>
  <si>
    <t>51.38805311226645, -2.3672163229869625</t>
  </si>
  <si>
    <t>51.37995075640787, -2.3513156175613403</t>
  </si>
  <si>
    <t>51.37955508155073, -2.3571102430997026</t>
  </si>
  <si>
    <t>51.37714854911259, -2.388968871064654</t>
  </si>
  <si>
    <t>51.38835066392397, -2.3708420991897583</t>
  </si>
  <si>
    <t>51.38086527618695, -2.351298487908764</t>
  </si>
  <si>
    <t>51.38079328970394, -2.357206537291423</t>
  </si>
  <si>
    <t>51.37835876280081, -2.391392560747365</t>
  </si>
  <si>
    <t>51.388274663773196, -2.3742714706028822</t>
  </si>
  <si>
    <t>51.383924552641254, -2.3514327685357017</t>
  </si>
  <si>
    <t>51.38146105870432, -2.3575286882197566</t>
  </si>
  <si>
    <t>51.3800697296167, -2.3916393239767353</t>
  </si>
  <si>
    <t>51.389174166921414, -2.3776334524154663</t>
  </si>
  <si>
    <t>51.38393161422226, -2.3509186506271362</t>
  </si>
  <si>
    <t>51.38165022637577, -2.358322622088165</t>
  </si>
  <si>
    <t>51.38005298856824, -2.3921382148535053</t>
  </si>
  <si>
    <t>51.388310492666925, -2.3687875270843506</t>
  </si>
  <si>
    <t>51.382798386789624, -2.3490456025124473</t>
  </si>
  <si>
    <t>51.38250079908559, -2.359170200136871</t>
  </si>
  <si>
    <t>51.38034239517963, -2.3961761101624024</t>
  </si>
  <si>
    <t>51.38806372387171, -2.367348661226709</t>
  </si>
  <si>
    <t>51.38269286462717, -2.3481613397598267</t>
  </si>
  <si>
    <t>51.38285730091929, -2.3583014845521633</t>
  </si>
  <si>
    <t>51.38123499041967, -2.3989104352195367</t>
  </si>
  <si>
    <t>51.388166545372925, -2.36605167388916</t>
  </si>
  <si>
    <t>51.38099204029276, -2.3455381393432617</t>
  </si>
  <si>
    <t>51.382065140886084, -2.357227117339269</t>
  </si>
  <si>
    <t>51.380383111938144, -2.3991200718380212</t>
  </si>
  <si>
    <t>51.38784182539562, -2.363637685775757</t>
  </si>
  <si>
    <t>51.379759907596544, -2.3426949977874756</t>
  </si>
  <si>
    <t>51.38174291198658, -2.357588862907989</t>
  </si>
  <si>
    <t>51.3794359179538, -2.4013877103692916</t>
  </si>
  <si>
    <t>51.38735957411172, -2.361530364449278</t>
  </si>
  <si>
    <t>51.37858801148564, -2.3400020599365234</t>
  </si>
  <si>
    <t>51.38089228832853, -2.357168535057723</t>
  </si>
  <si>
    <t>51.37945098510081, -2.4019134233362105</t>
  </si>
  <si>
    <t>51.38589010935692, -2.3610520362854004</t>
  </si>
  <si>
    <t>51.377841330601, -2.3374539613723755</t>
  </si>
  <si>
    <t>51.38089522950637, -2.3540633261092703</t>
  </si>
  <si>
    <t>51.377975803866285, -2.4036564481874034</t>
  </si>
  <si>
    <t>51.38540096160841, -2.360764030991067</t>
  </si>
  <si>
    <t>51.377436175785846, -2.33384370803833</t>
  </si>
  <si>
    <t>51.38094158130282, -2.3513462944114005</t>
  </si>
  <si>
    <t>51.37647657169495, -2.4042663655274965</t>
  </si>
  <si>
    <t>51.38499922155567, -2.36143994766282</t>
  </si>
  <si>
    <t>51.376609113089486, -2.331520915031433</t>
  </si>
  <si>
    <t>51.383935672771, -2.3514376386891223</t>
  </si>
  <si>
    <t>51.37618187517687, -2.4022117292521594</t>
  </si>
  <si>
    <t>51.38485861170401, -2.3619334741215603</t>
  </si>
  <si>
    <t>51.37424168908672, -2.3281842470169067</t>
  </si>
  <si>
    <t>51.38392395502755, -2.3509628876934863</t>
  </si>
  <si>
    <t>51.37625219348571, -2.401374880039513</t>
  </si>
  <si>
    <t>51.38418233923891, -2.3616223378758328</t>
  </si>
  <si>
    <t>51.37371217393022, -2.326497573073314</t>
  </si>
  <si>
    <t>51.382807721327175, -2.349042369469294</t>
  </si>
  <si>
    <t>51.376250519241516, -2.400779429638207</t>
  </si>
  <si>
    <t>51.38310698759356, -2.3598268695943814</t>
  </si>
  <si>
    <t>51.375919324675635, -2.324708104133606</t>
  </si>
  <si>
    <t>51.382691190618544, -2.3481613397598267</t>
  </si>
  <si>
    <t>51.37513223056314, -2.4006504134144624</t>
  </si>
  <si>
    <t>51.38272531549614, -2.3590061136358242</t>
  </si>
  <si>
    <t>51.37676410884002, -2.3249407402973987</t>
  </si>
  <si>
    <t>51.375050190518586, -2.4003768280949433</t>
  </si>
  <si>
    <t>51.382875975914835, -2.3583301969640713</t>
  </si>
  <si>
    <t>51.37864109674083, -2.3250951578602352</t>
  </si>
  <si>
    <t>51.37431437419811, -2.3976964932190348</t>
  </si>
  <si>
    <t>51.38233127734242, -2.3574578762054443</t>
  </si>
  <si>
    <t>51.37890043323525, -2.3254735914320146</t>
  </si>
  <si>
    <t>51.372879570374586, -2.3978197072989937</t>
  </si>
  <si>
    <t>51.38172646283637, -2.357592012355272</t>
  </si>
  <si>
    <t>51.37275231826711, -2.397583672905683</t>
  </si>
  <si>
    <t>51.38081809872629, -2.3571574944948592</t>
  </si>
  <si>
    <t>51.37244925590265, -2.3970525955207345</t>
  </si>
  <si>
    <t>51.379553196525706, -2.357034849731854</t>
  </si>
  <si>
    <t>51.37168788718404, -2.3964732383735177</t>
  </si>
  <si>
    <t>51.3783846434549, -2.356981205551556</t>
  </si>
  <si>
    <t>51.370241264255164, -2.395242250377001</t>
  </si>
  <si>
    <t>51.37797069721746, -2.356977522945396</t>
  </si>
  <si>
    <t>51.37371162084214, -2.3265422530612634</t>
  </si>
  <si>
    <t>51.36988292755819, -2.3953253988564627</t>
  </si>
  <si>
    <t>51.37787694296806, -2.3576373463630595</t>
  </si>
  <si>
    <t>51.367974796906665, -2.3944795704012867</t>
  </si>
  <si>
    <t>51.377937213579024, -2.3578411942481914</t>
  </si>
  <si>
    <t>51.3767582265739, -2.3249255660105717</t>
  </si>
  <si>
    <t>51.366012185907486, -2.393374500287151</t>
  </si>
  <si>
    <t>51.377974045579954, -2.3583132630348125</t>
  </si>
  <si>
    <t>51.37862164274697, -2.3251061743317702</t>
  </si>
  <si>
    <t>51.36576434167676, -2.3936588144427295</t>
  </si>
  <si>
    <t>51.37804436113587, -2.359670460796348</t>
  </si>
  <si>
    <t>51.3788995520487, -2.3254977768479446</t>
  </si>
  <si>
    <t>51.36564609461516, -2.3939926503453113</t>
  </si>
  <si>
    <t>51.37781667227779, -2.3603034621238628</t>
  </si>
  <si>
    <t>51.364581016254725, -2.3920078156742908</t>
  </si>
  <si>
    <t>51.3774115172444, -2.3603624707221904</t>
  </si>
  <si>
    <t>51.3625188697095, -2.3857962693995938</t>
  </si>
  <si>
    <t>51.362103530721406, -2.384691199285458</t>
  </si>
  <si>
    <t>51.37683361811967, -2.3558409741737396</t>
  </si>
  <si>
    <t>51.36119762068615, -2.381590457877223</t>
  </si>
  <si>
    <t>51.3765521891964, -2.3538368940353394</t>
  </si>
  <si>
    <t>51.36032671916062, -2.379466148337428</t>
  </si>
  <si>
    <t>51.376505469255484, -2.353555732093051</t>
  </si>
  <si>
    <t>51.360082193831836, -2.3790101728048962</t>
  </si>
  <si>
    <t>51.37521613161336, -2.3491698503494263</t>
  </si>
  <si>
    <t>51.35951414459198, -2.3777425381027095</t>
  </si>
  <si>
    <t>51.37459644377711, -2.34501893509079</t>
  </si>
  <si>
    <t>51.3586733590327, -2.375907907136523</t>
  </si>
  <si>
    <t>51.373716949183105, -2.3407226244647084</t>
  </si>
  <si>
    <t>litres per journey</t>
  </si>
  <si>
    <t>51.35810724372726, -2.3747706505142085</t>
  </si>
  <si>
    <t>51.374997596052, -2.3333018329218125</t>
  </si>
  <si>
    <t>Percentage</t>
  </si>
  <si>
    <t>51.357323380215405, -2.372716078408801</t>
  </si>
  <si>
    <t>51.374678380139116, -2.32974414380011</t>
  </si>
  <si>
    <t>Velocity mph</t>
  </si>
  <si>
    <t>velocity ms</t>
  </si>
  <si>
    <t>distance</t>
  </si>
  <si>
    <t>altitude</t>
  </si>
  <si>
    <t>alt dif</t>
  </si>
  <si>
    <t>angle</t>
  </si>
  <si>
    <t>coords</t>
  </si>
  <si>
    <t>https://www.freemaptools.com/elevation-finder.htm</t>
  </si>
  <si>
    <t>51.356981691922705, -2.371412524827563</t>
  </si>
  <si>
    <t>51.38391627082914, -2.3508962029356004</t>
  </si>
  <si>
    <t>st marys</t>
  </si>
  <si>
    <t>51.3568912445951, -2.368386993058764</t>
  </si>
  <si>
    <t>51.373724018210105, -2.3265576794904175</t>
  </si>
  <si>
    <t>51.382793130712535, -2.348827271850172</t>
  </si>
  <si>
    <t>51.35727919946687, -2.3673869543989223</t>
  </si>
  <si>
    <t>51.3826859942739, -2.3481728128915726</t>
  </si>
  <si>
    <t>sydney building</t>
  </si>
  <si>
    <t>51.358193706475305, -2.364179032417111</t>
  </si>
  <si>
    <t>51.376762528501075, -2.3249292668698907</t>
  </si>
  <si>
    <t>51.38100409619431, -2.34552460551713</t>
  </si>
  <si>
    <t>51.35901763965008, -2.359130831771963</t>
  </si>
  <si>
    <t>51.378640972687535, -2.325100928246844</t>
  </si>
  <si>
    <t>51.379767089609004, -2.3426874465262912</t>
  </si>
  <si>
    <t>51.35989804170447, -2.3541911633608947</t>
  </si>
  <si>
    <t>51.37887261758533, -2.3255503177642822</t>
  </si>
  <si>
    <t>51.37858431588728, -2.3399860321746115</t>
  </si>
  <si>
    <t>51.36091844033134, -2.3498274356274162</t>
  </si>
  <si>
    <t>51.37783753773041, -2.3374481479760263</t>
  </si>
  <si>
    <t>51.36244732995038, -2.3454071867229143</t>
  </si>
  <si>
    <t>51.37743105315542, -2.333839405493316</t>
  </si>
  <si>
    <t>51.362514319861646, -2.3451228725673356</t>
  </si>
  <si>
    <t>51.37663175427235, -2.3315189433745496</t>
  </si>
  <si>
    <t>51.36257796018658, -2.3445542442561784</t>
  </si>
  <si>
    <t>51.37424943532236, -2.3281861477745314</t>
  </si>
  <si>
    <t>51.363143214071506, -2.3375832284813125</t>
  </si>
  <si>
    <t>51.3737139805125, -2.3264315102347166</t>
  </si>
  <si>
    <t>turn into uni</t>
  </si>
  <si>
    <t>51.36386341420398, -2.33098642578639</t>
  </si>
  <si>
    <t>51.37592070348527, -2.324706849871944</t>
  </si>
  <si>
    <t>51.36542640339798, -2.322000055533222</t>
  </si>
  <si>
    <t>51.376894372941635, -2.325161415302233</t>
  </si>
  <si>
    <t>51.36635721436102, -2.3192596212104144</t>
  </si>
  <si>
    <t>51.378623205615135, -2.3250997257957016</t>
  </si>
  <si>
    <t>51.37365706157143, -2.326482155980232</t>
  </si>
  <si>
    <t>51.37889107001739, -2.32554229025541</t>
  </si>
  <si>
    <t>51.37591296663996, -2.3246439605571756</t>
  </si>
  <si>
    <t>51.37689536206976, -2.3252923517996726</t>
  </si>
  <si>
    <t>51.37823403084492, -2.3252021236202647</t>
  </si>
  <si>
    <t>51.37886016677046, -2.3254864377758433</t>
  </si>
  <si>
    <t xml:space="preserve">Course Year </t>
  </si>
  <si>
    <t>Headcount</t>
  </si>
  <si>
    <t>Accomadation</t>
  </si>
  <si>
    <t>Number of Beds</t>
  </si>
  <si>
    <t>90% of on campus accomodation is for first years</t>
  </si>
  <si>
    <t>Faculty</t>
  </si>
  <si>
    <t>Number</t>
  </si>
  <si>
    <t>On Campus</t>
  </si>
  <si>
    <t>Number of 1st Years on Campus</t>
  </si>
  <si>
    <t>Engineering &amp; Design</t>
  </si>
  <si>
    <t>Off Campus</t>
  </si>
  <si>
    <t>Percentage of First Years on Campus</t>
  </si>
  <si>
    <t>Humanities &amp; Social Sciences</t>
  </si>
  <si>
    <t>School of Management</t>
  </si>
  <si>
    <t>Science</t>
  </si>
  <si>
    <t>Cross Faculty</t>
  </si>
  <si>
    <t>Assumed all year 3 are placement people</t>
  </si>
  <si>
    <t>Level</t>
  </si>
  <si>
    <t>Undergraduate</t>
  </si>
  <si>
    <t>Masters</t>
  </si>
  <si>
    <t>Number of Students per Course per Year</t>
  </si>
  <si>
    <t>Number of Students per Unique Course per Year</t>
  </si>
  <si>
    <t>Reaserch</t>
  </si>
  <si>
    <t>Number of Courses</t>
  </si>
  <si>
    <t>Number of Unique Courses</t>
  </si>
  <si>
    <t>Year 1</t>
  </si>
  <si>
    <t>Year 2</t>
  </si>
  <si>
    <t>Year 3</t>
  </si>
  <si>
    <t>Year 4</t>
  </si>
  <si>
    <t>Year 5</t>
  </si>
  <si>
    <t>Mean Contact Hours</t>
  </si>
  <si>
    <t>https://www.bath.ac.uk/courses/undergraduate/faculty-of-engineering-design-undergraduate-courses/</t>
  </si>
  <si>
    <t>Whole Uni</t>
  </si>
  <si>
    <t>https://www.bath.ac.uk/courses/undergraduate/faculty-of-humanities-social-sciences-undergraduate-courses/</t>
  </si>
  <si>
    <t>https://www.bath.ac.uk/campaigns/undergraduate-courses-in-the-school-of-management/</t>
  </si>
  <si>
    <t>https://www.bath.ac.uk/courses/undergraduate/faculty-of-science-undergraduate-courses/</t>
  </si>
  <si>
    <t>Number of Undergraduate Students per Year per Faculty</t>
  </si>
  <si>
    <t>Number of Courses per Faculty per Year</t>
  </si>
  <si>
    <t>Number of Years x Number of Modules per Course x Mean Hours Per Module</t>
  </si>
  <si>
    <t>Placement</t>
  </si>
  <si>
    <t>Academic Weeks</t>
  </si>
  <si>
    <t>Activities per course</t>
  </si>
  <si>
    <t>Activities per faculty</t>
  </si>
  <si>
    <t>Teaching Years</t>
  </si>
  <si>
    <t>Number of Unique Courses per Faculty per Year</t>
  </si>
  <si>
    <t>1 Session = 50 mins</t>
  </si>
  <si>
    <t xml:space="preserve">Number of Modules </t>
  </si>
  <si>
    <t>Number of Modules per Course</t>
  </si>
  <si>
    <t>(divde by 60 courses)</t>
  </si>
  <si>
    <t>divide by 32</t>
  </si>
  <si>
    <t>Number of Modules per Course per Year</t>
  </si>
  <si>
    <t>(divide by 5 years)</t>
  </si>
  <si>
    <t>Number of Modules per Course per Semester</t>
  </si>
  <si>
    <t xml:space="preserve">Between </t>
  </si>
  <si>
    <t>Divide by 5 as most people do 5 modules per week</t>
  </si>
  <si>
    <t>Mean Contact Hours per Week</t>
  </si>
  <si>
    <t>Mean Hours per Module per week</t>
  </si>
  <si>
    <t>Activities per faculty per week</t>
  </si>
  <si>
    <t>Contact Hours</t>
  </si>
  <si>
    <t>Course</t>
  </si>
  <si>
    <t>Mid</t>
  </si>
  <si>
    <t>Maximum</t>
  </si>
  <si>
    <t>Aerospace Engineering</t>
  </si>
  <si>
    <t>Minimum</t>
  </si>
  <si>
    <t>Architecture</t>
  </si>
  <si>
    <t>Mean</t>
  </si>
  <si>
    <t>Chemical Engineering</t>
  </si>
  <si>
    <t xml:space="preserve">Median </t>
  </si>
  <si>
    <t>Chemical Engineering with Environmental Engineering</t>
  </si>
  <si>
    <t>Mode</t>
  </si>
  <si>
    <t>Civil Engineering</t>
  </si>
  <si>
    <t>Computer Systems Engineering</t>
  </si>
  <si>
    <t>Max Eng</t>
  </si>
  <si>
    <t>Electrical and Electronic Engineering</t>
  </si>
  <si>
    <t>Min Eng</t>
  </si>
  <si>
    <t>Electronic Engineering with Space Science and Technology</t>
  </si>
  <si>
    <t>Mean Eng</t>
  </si>
  <si>
    <t>Integrated Design Engineering</t>
  </si>
  <si>
    <t>Median Eng</t>
  </si>
  <si>
    <t>Integrated Mechanical and Electrical Engineering</t>
  </si>
  <si>
    <t>Mode Eng</t>
  </si>
  <si>
    <t>Mechanical Engineering</t>
  </si>
  <si>
    <t>Mechanical Engineering with Manufacturing and Management</t>
  </si>
  <si>
    <t>Max Hum</t>
  </si>
  <si>
    <t>Mechanical with Automotive Engineering</t>
  </si>
  <si>
    <t>Min Hum</t>
  </si>
  <si>
    <t>Robotics Engineering</t>
  </si>
  <si>
    <t>Mean Hum</t>
  </si>
  <si>
    <t>Structural and Architectural Engineering</t>
  </si>
  <si>
    <t>Median Hum</t>
  </si>
  <si>
    <t>Mode Hum</t>
  </si>
  <si>
    <t>Criminology</t>
  </si>
  <si>
    <t>Economics</t>
  </si>
  <si>
    <t>Max Max</t>
  </si>
  <si>
    <t>Economics and Mathematics</t>
  </si>
  <si>
    <t>Min Max</t>
  </si>
  <si>
    <t>Economics with Politics</t>
  </si>
  <si>
    <t>Mean Max</t>
  </si>
  <si>
    <t>Education with Psychology</t>
  </si>
  <si>
    <t>Median Max</t>
  </si>
  <si>
    <t>Health and Exercise Science</t>
  </si>
  <si>
    <t>Mode Max</t>
  </si>
  <si>
    <t>International Development with Economics</t>
  </si>
  <si>
    <t>International Politics and Modern Languages</t>
  </si>
  <si>
    <t>Max Sci</t>
  </si>
  <si>
    <t>Modern Languages</t>
  </si>
  <si>
    <t>Min Sci</t>
  </si>
  <si>
    <t>Politics and International Relations</t>
  </si>
  <si>
    <t>Mean Sci</t>
  </si>
  <si>
    <t>Politics with Economics</t>
  </si>
  <si>
    <t>Median Sci</t>
  </si>
  <si>
    <t>Psychology</t>
  </si>
  <si>
    <t>Mode Sci</t>
  </si>
  <si>
    <t>Social Policy</t>
  </si>
  <si>
    <t>Social Sciences</t>
  </si>
  <si>
    <t>Social Work and Applied Social Studies</t>
  </si>
  <si>
    <t>Sociology</t>
  </si>
  <si>
    <t>Sociology and Social Policy</t>
  </si>
  <si>
    <t>what percentage of uni are campus and oput of town</t>
  </si>
  <si>
    <t>Sport</t>
  </si>
  <si>
    <t>Sport Management and Coaching</t>
  </si>
  <si>
    <t>Sport and Exercise Science</t>
  </si>
  <si>
    <t>Accounting and Finance</t>
  </si>
  <si>
    <t>Accounting and Management</t>
  </si>
  <si>
    <t>Business</t>
  </si>
  <si>
    <t>Management</t>
  </si>
  <si>
    <t>Management with Marketing</t>
  </si>
  <si>
    <t>International Management and Modern Languages</t>
  </si>
  <si>
    <t>Biochemistry</t>
  </si>
  <si>
    <t>Biology</t>
  </si>
  <si>
    <t>Biomedical Sciences</t>
  </si>
  <si>
    <t>Chemistry</t>
  </si>
  <si>
    <t>Chemistry for Drug Discovery</t>
  </si>
  <si>
    <t>Chemistry with Management</t>
  </si>
  <si>
    <t>Computer Science</t>
  </si>
  <si>
    <t>Computer Science and Artificial Intelligence</t>
  </si>
  <si>
    <t>Computer Science and Mathematics</t>
  </si>
  <si>
    <t>Mathematics</t>
  </si>
  <si>
    <t>Mathematics and Physics</t>
  </si>
  <si>
    <t>Mathematics and Statistics</t>
  </si>
  <si>
    <t>Mathematics, Statistics and Data Science</t>
  </si>
  <si>
    <t>Natural Sciences</t>
  </si>
  <si>
    <t>Pharmacology</t>
  </si>
  <si>
    <t>Pharmacy</t>
  </si>
  <si>
    <t>Physics</t>
  </si>
  <si>
    <t>Physics with Astrophysics</t>
  </si>
  <si>
    <t>Physics with Theoretical Physics</t>
  </si>
  <si>
    <t>Bus Emissions V1</t>
  </si>
  <si>
    <t>Time spent is proportional to emissions</t>
  </si>
  <si>
    <t>Percentage of People on Route</t>
  </si>
  <si>
    <t>Car to Bus emissions factor</t>
  </si>
  <si>
    <t>How many litres of fuel would need to be burned to make this much carbon?</t>
  </si>
  <si>
    <t>Total Length</t>
  </si>
  <si>
    <t>Number of People per car</t>
  </si>
  <si>
    <t>Also need to add the extra hours of the day, assume they are average</t>
  </si>
  <si>
    <t>Number of parking spaces</t>
  </si>
  <si>
    <t>CO2 per litre of diesel burned (kg)</t>
  </si>
  <si>
    <t>Car journeys per day</t>
  </si>
  <si>
    <t>Mode of Transport</t>
  </si>
  <si>
    <t>Percentage Use to commute</t>
  </si>
  <si>
    <t>Percentage of emissions</t>
  </si>
  <si>
    <t>tCO2</t>
  </si>
  <si>
    <t>kgCO2</t>
  </si>
  <si>
    <t>Bus</t>
  </si>
  <si>
    <t>time</t>
  </si>
  <si>
    <t>percentage of total</t>
  </si>
  <si>
    <t>Emissions</t>
  </si>
  <si>
    <t>Emissions per Bus</t>
  </si>
  <si>
    <t>litres of diesel</t>
  </si>
  <si>
    <t>Emissions per bus</t>
  </si>
  <si>
    <t>Foot</t>
  </si>
  <si>
    <t>Bike</t>
  </si>
  <si>
    <t>Other (Carbon Producing)</t>
  </si>
  <si>
    <t>CO2 released from commuting yearly (tCO2)</t>
  </si>
  <si>
    <t>CO2 released from bus yearly (tCO2)</t>
  </si>
  <si>
    <t>Weeks at Uni</t>
  </si>
  <si>
    <t>Days at Uni</t>
  </si>
  <si>
    <t>Hours per Day</t>
  </si>
  <si>
    <t>Daily bus emissions (tCO2)</t>
  </si>
  <si>
    <t>Litres per route (from python)</t>
  </si>
  <si>
    <t>Litres per route per day</t>
  </si>
  <si>
    <t>Time Between Bus (s)</t>
  </si>
  <si>
    <t>Minutes</t>
  </si>
  <si>
    <t>Bus per Hour</t>
  </si>
  <si>
    <t>Bus per day</t>
  </si>
  <si>
    <t>Total bus per day</t>
  </si>
  <si>
    <t>Students</t>
  </si>
  <si>
    <t>Percentage of bus per route</t>
  </si>
  <si>
    <t>(-2900)</t>
  </si>
  <si>
    <t>Staff</t>
  </si>
  <si>
    <t>Emissions per route per day</t>
  </si>
  <si>
    <t>need to account for some routes producing more carbon</t>
  </si>
  <si>
    <t>Number per year</t>
  </si>
  <si>
    <t>Trips per day</t>
  </si>
  <si>
    <t>People travelling by car to uni</t>
  </si>
  <si>
    <t>People travelling by bus to uni</t>
  </si>
  <si>
    <t>Average number of people per bus</t>
  </si>
  <si>
    <t>Person</t>
  </si>
  <si>
    <t>Average Number of Journeys to Campus a week</t>
  </si>
  <si>
    <t>Avereage number of trips to uni per week</t>
  </si>
  <si>
    <t>Non Campus Student</t>
  </si>
  <si>
    <t>Campus Student</t>
  </si>
  <si>
    <t>All Students</t>
  </si>
  <si>
    <t>Campus going person</t>
  </si>
  <si>
    <t>Weeks at University</t>
  </si>
  <si>
    <t>Days at University</t>
  </si>
  <si>
    <t>Hours at University</t>
  </si>
  <si>
    <t>NEED TO MAKE SURE PYTHON SCRIPT IS VALID ELSE THIS DOESN’T REALLY PROOVE ANYTHING</t>
  </si>
  <si>
    <t>CO2 from commuting (Yearly)</t>
  </si>
  <si>
    <t>CO2 from commuting (Daily)</t>
  </si>
  <si>
    <t>FIND BO2</t>
  </si>
  <si>
    <t>Average days on campus per week</t>
  </si>
  <si>
    <t>Off Campus Student</t>
  </si>
  <si>
    <t>On Campus/Placement Student</t>
  </si>
  <si>
    <t>Work 47 weeks a year (why more than 5 a week)</t>
  </si>
  <si>
    <t>Number of people travelling to campus a day</t>
  </si>
  <si>
    <t>Number of people travelling via bus to uni daily</t>
  </si>
  <si>
    <t>Number of people travelling via car to uni daily</t>
  </si>
  <si>
    <t>Number of car park spaces a day</t>
  </si>
  <si>
    <t>Number of people per car a day</t>
  </si>
  <si>
    <t>Number of cars travelling to uni a day</t>
  </si>
  <si>
    <t>Car to Bus Emissions Ratio</t>
  </si>
  <si>
    <t>Equivalent number of cars</t>
  </si>
  <si>
    <t>Total Journeys made a day</t>
  </si>
  <si>
    <t>Emissions given by cars (%)</t>
  </si>
  <si>
    <t>ton</t>
  </si>
  <si>
    <t>kg</t>
  </si>
  <si>
    <t>litres</t>
  </si>
  <si>
    <t>Emissions given by bus (%)</t>
  </si>
  <si>
    <t>percentage of total time</t>
  </si>
  <si>
    <t>emissions per time slot</t>
  </si>
  <si>
    <t>Number of buses per route per day</t>
  </si>
  <si>
    <t>Number of buses per route per hour</t>
  </si>
  <si>
    <t>Litres of Fuel per loop</t>
  </si>
  <si>
    <t>Emissions per route (%)</t>
  </si>
  <si>
    <t>Emissions per route (tCO2)</t>
  </si>
  <si>
    <t>Average</t>
  </si>
  <si>
    <t>Different ways to time buses</t>
  </si>
  <si>
    <t>Rank</t>
  </si>
  <si>
    <t>No.</t>
  </si>
  <si>
    <t>Method</t>
  </si>
  <si>
    <t>Cost</t>
  </si>
  <si>
    <t>Time</t>
  </si>
  <si>
    <t>Difficulty</t>
  </si>
  <si>
    <t>Comfort</t>
  </si>
  <si>
    <t>Quality of Data</t>
  </si>
  <si>
    <t>Bus timetable</t>
  </si>
  <si>
    <t>Google maps</t>
  </si>
  <si>
    <t>First Bus App</t>
  </si>
  <si>
    <t>Manual Count</t>
  </si>
  <si>
    <t>Computer Vision</t>
  </si>
  <si>
    <t xml:space="preserve">c </t>
  </si>
  <si>
    <t>Up to Uni</t>
  </si>
  <si>
    <t>Down from Uni</t>
  </si>
  <si>
    <t>Bus Emissions V2</t>
  </si>
  <si>
    <t>Bus Fuel Consumption (L/h)</t>
  </si>
  <si>
    <t>CO2 per hour of opereation (kg)</t>
  </si>
  <si>
    <t>CO2 per minute of operation (kg)</t>
  </si>
  <si>
    <t>Speed</t>
  </si>
  <si>
    <t>Fuel Economy</t>
  </si>
  <si>
    <t>Time (s)</t>
  </si>
  <si>
    <t>mph</t>
  </si>
  <si>
    <t>m/s</t>
  </si>
  <si>
    <t>mpg</t>
  </si>
  <si>
    <t>m/L</t>
  </si>
  <si>
    <t>Distance (m)</t>
  </si>
  <si>
    <t>Fuel Burned (L)</t>
  </si>
  <si>
    <t>Average Metres per Litre</t>
  </si>
  <si>
    <t>Total Distance</t>
  </si>
  <si>
    <t>Litres</t>
  </si>
  <si>
    <t>Acceleration</t>
  </si>
  <si>
    <t>Route</t>
  </si>
  <si>
    <t>Real</t>
  </si>
  <si>
    <t>Calculated</t>
  </si>
  <si>
    <t>Percentage Difference</t>
  </si>
  <si>
    <t>0-30</t>
  </si>
  <si>
    <t>Home</t>
  </si>
  <si>
    <t>U2 alternative</t>
  </si>
  <si>
    <t>distance (miles)</t>
  </si>
  <si>
    <t>distance (m)</t>
  </si>
  <si>
    <t>m/l</t>
  </si>
  <si>
    <t>home</t>
  </si>
  <si>
    <t>real</t>
  </si>
  <si>
    <t>Weighted average of percentage of each faculty</t>
  </si>
  <si>
    <t>Unique Courses</t>
  </si>
  <si>
    <t xml:space="preserve">Modules per unique course </t>
  </si>
  <si>
    <t>per semester</t>
  </si>
  <si>
    <t>Divide by 5 modules per semester</t>
  </si>
  <si>
    <t>Time multiplied by number of modules</t>
  </si>
  <si>
    <t>Time multiplied by number of courses</t>
  </si>
  <si>
    <t>Mean Hours per Course per Week</t>
  </si>
  <si>
    <t>Mean Hours per Department per Week</t>
  </si>
  <si>
    <t>Room</t>
  </si>
  <si>
    <t>1E 2.4 (60)</t>
  </si>
  <si>
    <t>https://www.bath.ac.uk/publications/claverton-down-campus-map/attachments/university-campus-map.pdf</t>
  </si>
  <si>
    <t>1E2.4</t>
  </si>
  <si>
    <t>1E3.6</t>
  </si>
  <si>
    <t>1E 3.6 (48)</t>
  </si>
  <si>
    <t>1E3.9</t>
  </si>
  <si>
    <t>2E3.1</t>
  </si>
  <si>
    <t>1E 3.9 (46)</t>
  </si>
  <si>
    <t>Prefix</t>
  </si>
  <si>
    <t>Sufix</t>
  </si>
  <si>
    <t>Combine</t>
  </si>
  <si>
    <t>2E3.5</t>
  </si>
  <si>
    <t>2E 3.1 (156)</t>
  </si>
  <si>
    <t>a</t>
  </si>
  <si>
    <t>CB</t>
  </si>
  <si>
    <t>Chancelors Building</t>
  </si>
  <si>
    <t>4E2.4</t>
  </si>
  <si>
    <t>2E 3.5 (24)</t>
  </si>
  <si>
    <t>E</t>
  </si>
  <si>
    <t>4E2.56</t>
  </si>
  <si>
    <t>4E 2.4 (24)</t>
  </si>
  <si>
    <t>4E2.61</t>
  </si>
  <si>
    <t>4E 2.56 (60)</t>
  </si>
  <si>
    <t>4E3.10</t>
  </si>
  <si>
    <t>4E 2.61 (30)</t>
  </si>
  <si>
    <t>4E3.19</t>
  </si>
  <si>
    <t>4E 3.10 (140)</t>
  </si>
  <si>
    <t>4E3.38</t>
  </si>
  <si>
    <t>4E 3.19 (24)</t>
  </si>
  <si>
    <t>4E3.5</t>
  </si>
  <si>
    <t>4E 3.38 (114)</t>
  </si>
  <si>
    <t>2E2.14</t>
  </si>
  <si>
    <t>4E 3.5 (60)</t>
  </si>
  <si>
    <t>EB</t>
  </si>
  <si>
    <t>East Building</t>
  </si>
  <si>
    <t>https://www.bath.ac.uk/locations/east-building/</t>
  </si>
  <si>
    <t>2E2.16</t>
  </si>
  <si>
    <t>2E 2.14 (56)</t>
  </si>
  <si>
    <t>ES</t>
  </si>
  <si>
    <t>2E2.17</t>
  </si>
  <si>
    <t>2E 2.16 (18)</t>
  </si>
  <si>
    <t>2E2.44</t>
  </si>
  <si>
    <t>2E 2.17 (18)</t>
  </si>
  <si>
    <t>S</t>
  </si>
  <si>
    <t>4E3.44</t>
  </si>
  <si>
    <t>2E 2.44 (60)</t>
  </si>
  <si>
    <t>4E3.40</t>
  </si>
  <si>
    <t>4E 3.44 (84)</t>
  </si>
  <si>
    <t>4E2.32</t>
  </si>
  <si>
    <t>4E 3.40 (156)</t>
  </si>
  <si>
    <t>4E2.32A</t>
  </si>
  <si>
    <t>4E 2.32 (68)</t>
  </si>
  <si>
    <t>4E2.39</t>
  </si>
  <si>
    <t>4E 2.32A (24)</t>
  </si>
  <si>
    <t>SA</t>
  </si>
  <si>
    <t>4E3.36</t>
  </si>
  <si>
    <t>4E 2.39 (56)</t>
  </si>
  <si>
    <t>TE</t>
  </si>
  <si>
    <t>The Edge</t>
  </si>
  <si>
    <t>4E3.37</t>
  </si>
  <si>
    <t>UH</t>
  </si>
  <si>
    <t>University Hall</t>
  </si>
  <si>
    <t>3E2.1</t>
  </si>
  <si>
    <t>W</t>
  </si>
  <si>
    <t>3E2.2</t>
  </si>
  <si>
    <t>3E2.4</t>
  </si>
  <si>
    <t>3E2.9</t>
  </si>
  <si>
    <t>3E3.1</t>
  </si>
  <si>
    <t>4E 3.36 (64)</t>
  </si>
  <si>
    <t>3E3.5</t>
  </si>
  <si>
    <t>4E 3.37 (34)</t>
  </si>
  <si>
    <t>3E3.8</t>
  </si>
  <si>
    <t>6E2.1</t>
  </si>
  <si>
    <t>6E2.2</t>
  </si>
  <si>
    <t>6E2.5</t>
  </si>
  <si>
    <t>3E 2.1 (133)</t>
  </si>
  <si>
    <t>6E2.6</t>
  </si>
  <si>
    <t>3E 2.2 (90)</t>
  </si>
  <si>
    <t>WA</t>
  </si>
  <si>
    <t>6E2.7</t>
  </si>
  <si>
    <t>3E 2.4 (94)</t>
  </si>
  <si>
    <t>WN</t>
  </si>
  <si>
    <t>6E3.11</t>
  </si>
  <si>
    <t>3E 2.9 (14)</t>
  </si>
  <si>
    <t>6E3.20</t>
  </si>
  <si>
    <t>3E 3.1 (38)</t>
  </si>
  <si>
    <t>WS</t>
  </si>
  <si>
    <t>6E3.23</t>
  </si>
  <si>
    <t>3E 3.5 (90)</t>
  </si>
  <si>
    <t>6E3.7</t>
  </si>
  <si>
    <t>3E 3.8 (92)</t>
  </si>
  <si>
    <t>10E0.08</t>
  </si>
  <si>
    <t>6E 2.1 (56)</t>
  </si>
  <si>
    <t>10E0.09</t>
  </si>
  <si>
    <t>6E 2.2 (50)</t>
  </si>
  <si>
    <t>10E0.11</t>
  </si>
  <si>
    <t>6E 2.5 (22)</t>
  </si>
  <si>
    <t>10E0.13</t>
  </si>
  <si>
    <t>6E 2.6 (30)</t>
  </si>
  <si>
    <t>10E0.17</t>
  </si>
  <si>
    <t>6E 2.7 (24)</t>
  </si>
  <si>
    <t>10E0.18</t>
  </si>
  <si>
    <t>6E 3.11 (18)</t>
  </si>
  <si>
    <t>10E0.19</t>
  </si>
  <si>
    <t>6E 3.20 (102)</t>
  </si>
  <si>
    <t>10E0.23</t>
  </si>
  <si>
    <t>6E 3.23 (30)</t>
  </si>
  <si>
    <t>10E0.24</t>
  </si>
  <si>
    <t>6E 3.7 (20)</t>
  </si>
  <si>
    <t>10E1.27</t>
  </si>
  <si>
    <t>10E 0.08 (84)</t>
  </si>
  <si>
    <t>1W2.01</t>
  </si>
  <si>
    <t>10E 0.09 (50)</t>
  </si>
  <si>
    <t>1W2.02</t>
  </si>
  <si>
    <t>10E 0.11 (84)</t>
  </si>
  <si>
    <t>1W2.101</t>
  </si>
  <si>
    <t>10E 0.13 (128)</t>
  </si>
  <si>
    <t>1W2.103</t>
  </si>
  <si>
    <t>10E 0.17 (250)</t>
  </si>
  <si>
    <t>1W2.104</t>
  </si>
  <si>
    <t>10E 0.18 (128)</t>
  </si>
  <si>
    <t>1W3.103</t>
  </si>
  <si>
    <t>10E 0.19 (68)</t>
  </si>
  <si>
    <t>1W3.107</t>
  </si>
  <si>
    <t>10E 0.23 (50)</t>
  </si>
  <si>
    <t>1W3.30</t>
  </si>
  <si>
    <t>10E 0.24 (84)</t>
  </si>
  <si>
    <t>1W4.101</t>
  </si>
  <si>
    <t>1W4.105</t>
  </si>
  <si>
    <t>1WN3.10</t>
  </si>
  <si>
    <t>1WN3.11</t>
  </si>
  <si>
    <t>1WN3.12</t>
  </si>
  <si>
    <t>1WN3.24</t>
  </si>
  <si>
    <t>1W2.102</t>
  </si>
  <si>
    <t>3WN2.1</t>
  </si>
  <si>
    <t>3WN3.7</t>
  </si>
  <si>
    <t>3WN3.8</t>
  </si>
  <si>
    <t>4W1.1</t>
  </si>
  <si>
    <t>4W1.2</t>
  </si>
  <si>
    <t>4W1.7</t>
  </si>
  <si>
    <t>10E 1.27 (50)</t>
  </si>
  <si>
    <t>5W2.01</t>
  </si>
  <si>
    <t>1W 2.01 (42)</t>
  </si>
  <si>
    <t>5W2.3</t>
  </si>
  <si>
    <t>1W 2.02 (24)</t>
  </si>
  <si>
    <t>5W2.4</t>
  </si>
  <si>
    <t>1W 2.101 (162)</t>
  </si>
  <si>
    <t>5W2.43</t>
  </si>
  <si>
    <t>1W 2.103 (54)</t>
  </si>
  <si>
    <t>5W3.13</t>
  </si>
  <si>
    <t>1W 2.104 (54)</t>
  </si>
  <si>
    <t>5W3.5</t>
  </si>
  <si>
    <t>1W 3.103 (30)</t>
  </si>
  <si>
    <t>6W1.1</t>
  </si>
  <si>
    <t>1W 3.107 (30)</t>
  </si>
  <si>
    <t>6W1.2</t>
  </si>
  <si>
    <t>1W 3.30 (36)</t>
  </si>
  <si>
    <t>7W2.12</t>
  </si>
  <si>
    <t>1W 4.101 (8)</t>
  </si>
  <si>
    <t>7W4.6</t>
  </si>
  <si>
    <t>1W 4.105 (8)</t>
  </si>
  <si>
    <t>7W4.8</t>
  </si>
  <si>
    <t>1WN 3.10 (24)</t>
  </si>
  <si>
    <t>8W1.1</t>
  </si>
  <si>
    <t>1WN 3.11 (32)</t>
  </si>
  <si>
    <t>8W1.32</t>
  </si>
  <si>
    <t>1WN 3.12 (24)</t>
  </si>
  <si>
    <t>8W1.33</t>
  </si>
  <si>
    <t>1WN 3.24 (24)</t>
  </si>
  <si>
    <t>8W1.34</t>
  </si>
  <si>
    <t>8W2.1</t>
  </si>
  <si>
    <t>1W 2.102 (60)</t>
  </si>
  <si>
    <t>8W2.10</t>
  </si>
  <si>
    <t>8W2.11</t>
  </si>
  <si>
    <t>8W2.12</t>
  </si>
  <si>
    <t>8W2.13</t>
  </si>
  <si>
    <t>8W2.15</t>
  </si>
  <si>
    <t>8W2.19</t>
  </si>
  <si>
    <t>8W2.20</t>
  </si>
  <si>
    <t>3WN 2.1 (198)</t>
  </si>
  <si>
    <t>8W2.21</t>
  </si>
  <si>
    <t>3WN 3.7 (132)</t>
  </si>
  <si>
    <t>8W2.22</t>
  </si>
  <si>
    <t>3WN 3.8 (36)</t>
  </si>
  <si>
    <t>8W2.23</t>
  </si>
  <si>
    <t>4W 1.1 (52)</t>
  </si>
  <si>
    <t>8W2.24</t>
  </si>
  <si>
    <t>4W 1.2 (90)</t>
  </si>
  <si>
    <t>8W2.27</t>
  </si>
  <si>
    <t>4W 1.7 (80)</t>
  </si>
  <si>
    <t>8W2.28</t>
  </si>
  <si>
    <t>5W 2.01 (104)</t>
  </si>
  <si>
    <t>8W2.29</t>
  </si>
  <si>
    <t>5W 2.3 (169)</t>
  </si>
  <si>
    <t>8W2.30</t>
  </si>
  <si>
    <t>5W 2.4 (112)</t>
  </si>
  <si>
    <t>8W2.31</t>
  </si>
  <si>
    <t>5W 2.43 (40)</t>
  </si>
  <si>
    <t>8W2.32</t>
  </si>
  <si>
    <t>5W 3.13 (15)</t>
  </si>
  <si>
    <t>8W2.34</t>
  </si>
  <si>
    <t>5W 3.5 (25)</t>
  </si>
  <si>
    <t>8W2.4</t>
  </si>
  <si>
    <t>6W 1.1 (112)</t>
  </si>
  <si>
    <t>8W2.5</t>
  </si>
  <si>
    <t>6W 1.2 (110)</t>
  </si>
  <si>
    <t>8W2.6</t>
  </si>
  <si>
    <t>7W 2.12 (76)</t>
  </si>
  <si>
    <t>8W2.8</t>
  </si>
  <si>
    <t>7W 4.6 (45)</t>
  </si>
  <si>
    <t>8W3.22</t>
  </si>
  <si>
    <t>7W 4.8 (76)</t>
  </si>
  <si>
    <t>9W3.08</t>
  </si>
  <si>
    <t>10W0.02</t>
  </si>
  <si>
    <t>10W2.01</t>
  </si>
  <si>
    <t>10W2.02</t>
  </si>
  <si>
    <t>8W 1.1 (198)</t>
  </si>
  <si>
    <t>10W2.45</t>
  </si>
  <si>
    <t>8W 1.32 (30)</t>
  </si>
  <si>
    <t>10W2.46</t>
  </si>
  <si>
    <t>8W 1.33 (30)</t>
  </si>
  <si>
    <t>10W2.47</t>
  </si>
  <si>
    <t>8W 1.34 (30)</t>
  </si>
  <si>
    <t>1S0.01</t>
  </si>
  <si>
    <t>8W 2.1 (118)</t>
  </si>
  <si>
    <t>3S0.02</t>
  </si>
  <si>
    <t>8W 2.10 (40)</t>
  </si>
  <si>
    <t>4S1.15</t>
  </si>
  <si>
    <t>8W 2.11 (24)</t>
  </si>
  <si>
    <t>4S1.23</t>
  </si>
  <si>
    <t>8W 2.12 (18)</t>
  </si>
  <si>
    <t>EB0.11</t>
  </si>
  <si>
    <t>8W 2.13 (30)</t>
  </si>
  <si>
    <t>EB0.12</t>
  </si>
  <si>
    <t>8W 2.15 (20)</t>
  </si>
  <si>
    <t>EB0.13</t>
  </si>
  <si>
    <t>8W 2.19 (20)</t>
  </si>
  <si>
    <t>EB0.15</t>
  </si>
  <si>
    <t>8W 2.20 (30)</t>
  </si>
  <si>
    <t>EB0.5</t>
  </si>
  <si>
    <t>8W 2.21 (20)</t>
  </si>
  <si>
    <t>EB0.7</t>
  </si>
  <si>
    <t>8W 2.22 (20)</t>
  </si>
  <si>
    <t>EB0.9</t>
  </si>
  <si>
    <t>8W 2.23 (50)</t>
  </si>
  <si>
    <t>EB1.1</t>
  </si>
  <si>
    <t>8W 2.24 (20)</t>
  </si>
  <si>
    <t>EB0.8</t>
  </si>
  <si>
    <t>8W 2.27 (18)</t>
  </si>
  <si>
    <t>EB0.10</t>
  </si>
  <si>
    <t>8W 2.28 (20)</t>
  </si>
  <si>
    <t>EB0.6</t>
  </si>
  <si>
    <t>8W 2.29 (20)</t>
  </si>
  <si>
    <t>TE1.1</t>
  </si>
  <si>
    <t>8W 2.30 (48)</t>
  </si>
  <si>
    <t>TE1.2</t>
  </si>
  <si>
    <t>8W 2.31 (6)</t>
  </si>
  <si>
    <t>UH1.1</t>
  </si>
  <si>
    <t>8W 2.32 (6)</t>
  </si>
  <si>
    <t>CB1.10</t>
  </si>
  <si>
    <t>8W 2.34 (28)</t>
  </si>
  <si>
    <t>CB1.11</t>
  </si>
  <si>
    <t>8W 2.4 (24)</t>
  </si>
  <si>
    <t>CB1.12</t>
  </si>
  <si>
    <t>8W 2.5 (72)</t>
  </si>
  <si>
    <t>CB2.6</t>
  </si>
  <si>
    <t>8W 2.6 (24)</t>
  </si>
  <si>
    <t>CB3.1</t>
  </si>
  <si>
    <t>8W 2.8 (32)</t>
  </si>
  <si>
    <t>CB3.10</t>
  </si>
  <si>
    <t>8W 3.22 (124)</t>
  </si>
  <si>
    <t>CB3.11</t>
  </si>
  <si>
    <t>9W 3.08 (40)</t>
  </si>
  <si>
    <t>CB3.15</t>
  </si>
  <si>
    <t>10W 0.02 (99)</t>
  </si>
  <si>
    <t>CB3.16</t>
  </si>
  <si>
    <t>10W 2.01 (20)</t>
  </si>
  <si>
    <t>CB3.5</t>
  </si>
  <si>
    <t>10W 2.02 (32)</t>
  </si>
  <si>
    <t>CB3.6</t>
  </si>
  <si>
    <t>10W 2.45 (36)</t>
  </si>
  <si>
    <t>CB3.7</t>
  </si>
  <si>
    <t>10W 2.46 (36)</t>
  </si>
  <si>
    <t>CB3.9</t>
  </si>
  <si>
    <t>10W 2.47 (116)</t>
  </si>
  <si>
    <t>CB4.1</t>
  </si>
  <si>
    <t>1S 0.01 (50)</t>
  </si>
  <si>
    <t>CB4.10</t>
  </si>
  <si>
    <t>3S 0.02 (70)</t>
  </si>
  <si>
    <t>CB4.16</t>
  </si>
  <si>
    <t>4S 1.15 (96)</t>
  </si>
  <si>
    <t>CB4.17</t>
  </si>
  <si>
    <t>4S 1.23 (96)</t>
  </si>
  <si>
    <t>CB4.5</t>
  </si>
  <si>
    <t>EB 0.11 (48)</t>
  </si>
  <si>
    <t>CB4.6</t>
  </si>
  <si>
    <t>EB 0.12 (12)</t>
  </si>
  <si>
    <t>CB4.7</t>
  </si>
  <si>
    <t>EB 0.13 (12)</t>
  </si>
  <si>
    <t>CB4.8</t>
  </si>
  <si>
    <t>EB 0.15 (30)</t>
  </si>
  <si>
    <t>CB4.9</t>
  </si>
  <si>
    <t>EB 0.5 (48)</t>
  </si>
  <si>
    <t>CB5.1</t>
  </si>
  <si>
    <t>EB 0.7 (48)</t>
  </si>
  <si>
    <t>CB5.12</t>
  </si>
  <si>
    <t>EB 0.9 (40)</t>
  </si>
  <si>
    <t>CB5.13</t>
  </si>
  <si>
    <t>EB 1.1 (350)</t>
  </si>
  <si>
    <t>CB5.5</t>
  </si>
  <si>
    <t>EB 0.8 (30)</t>
  </si>
  <si>
    <t>CB5.6</t>
  </si>
  <si>
    <t>EB 0.10 (28)</t>
  </si>
  <si>
    <t>CB5.7</t>
  </si>
  <si>
    <t>EB 0.6 (20)</t>
  </si>
  <si>
    <t>CB5.8</t>
  </si>
  <si>
    <t>TE 1.1 (220)</t>
  </si>
  <si>
    <t>TE 1.2 (90)</t>
  </si>
  <si>
    <t>UH 1.1 (386)</t>
  </si>
  <si>
    <t>CB 1.10 (350)</t>
  </si>
  <si>
    <t>CB 1.11 (350)</t>
  </si>
  <si>
    <t>CB 1.12 (150)</t>
  </si>
  <si>
    <t>CB 2.6 (150)</t>
  </si>
  <si>
    <t>CB 3.1 (78)</t>
  </si>
  <si>
    <t>CB 3.10 (24)</t>
  </si>
  <si>
    <t>CB 3.11 (24)</t>
  </si>
  <si>
    <t>CB 3.15 (36)</t>
  </si>
  <si>
    <t>CB 3.16 (36)</t>
  </si>
  <si>
    <t>CB 3.5 (80)</t>
  </si>
  <si>
    <t>CB 3.6 (24)</t>
  </si>
  <si>
    <t>CB 3.7 (24)</t>
  </si>
  <si>
    <t>CB 3.9 (80)</t>
  </si>
  <si>
    <t>CB 4.1 (74)</t>
  </si>
  <si>
    <t>CB 4.10 (30)</t>
  </si>
  <si>
    <t>CB 4.16 (72)</t>
  </si>
  <si>
    <t>CB 4.17 (100)</t>
  </si>
  <si>
    <t>CB 4.5 (30)</t>
  </si>
  <si>
    <t>CB 4.6 (48)</t>
  </si>
  <si>
    <t>CB 4.7 (36)</t>
  </si>
  <si>
    <t>CB 4.8 (30)</t>
  </si>
  <si>
    <t>CB 4.9 (36)</t>
  </si>
  <si>
    <t>CB 5.1 (74)</t>
  </si>
  <si>
    <t>CB 5.12 (48)</t>
  </si>
  <si>
    <t>CB 5.13 (100)</t>
  </si>
  <si>
    <t>CB 5.5 (30)</t>
  </si>
  <si>
    <t>CB 5.6 (36)</t>
  </si>
  <si>
    <t>CB 5.7 (36)</t>
  </si>
  <si>
    <t>CB 5.8 (34)</t>
  </si>
  <si>
    <t>Input</t>
  </si>
  <si>
    <t>Output</t>
  </si>
  <si>
    <t>Module</t>
  </si>
  <si>
    <t>Class</t>
  </si>
  <si>
    <t>Lecturer</t>
  </si>
  <si>
    <t>Student Group</t>
  </si>
  <si>
    <t>Number of Students</t>
  </si>
  <si>
    <t>Location</t>
  </si>
  <si>
    <t>Day</t>
  </si>
  <si>
    <t>Person Identifier</t>
  </si>
  <si>
    <t>Year</t>
  </si>
  <si>
    <t>Identifier - (AA)</t>
  </si>
  <si>
    <t>I need to generate student groups</t>
  </si>
  <si>
    <t>1 Group per module</t>
  </si>
  <si>
    <t xml:space="preserve">Take number of people per course per year and assign a unique identifier </t>
  </si>
  <si>
    <t>Each person randomly takes 5 modules out of all offered</t>
  </si>
  <si>
    <t>Max Capacity</t>
  </si>
  <si>
    <t>Min Capacity</t>
  </si>
  <si>
    <t>Median</t>
  </si>
  <si>
    <t>Eng</t>
  </si>
  <si>
    <t>C1</t>
  </si>
  <si>
    <t>M1</t>
  </si>
  <si>
    <t>1,2,3 etc</t>
  </si>
  <si>
    <t>Y1</t>
  </si>
  <si>
    <t>QQ</t>
  </si>
  <si>
    <t>Lecture</t>
  </si>
  <si>
    <t>https://www.bath.ac.uk/courses/postgraduate/faculty-of-engineering-design-postgraduate-taught-courses/</t>
  </si>
  <si>
    <t>Post Grad</t>
  </si>
  <si>
    <t>Num</t>
  </si>
  <si>
    <t>Unique</t>
  </si>
  <si>
    <t>https://www.bath.ac.uk/corporate-information/faculty-of-humanities-social-sciences-postgraduate-taught-courses/</t>
  </si>
  <si>
    <t>https://www.bath.ac.uk/campaigns/msc-courses-in-the-school-of-management/</t>
  </si>
  <si>
    <t>https://www.bath.ac.uk/courses/postgraduate/faculty-of-science-postgraduate-taught-courses/</t>
  </si>
  <si>
    <t>Undergrad</t>
  </si>
  <si>
    <t>Postgrad</t>
  </si>
  <si>
    <t>Post</t>
  </si>
  <si>
    <t>https://www.bath.ac.uk/profiles/?query=lecturer&amp;Search=search&amp;f.Content+Type%7CcontentType=uob-cms-production-profiles</t>
  </si>
  <si>
    <t>Lecturers</t>
  </si>
  <si>
    <t>[85,143,68,127]</t>
  </si>
  <si>
    <t>Can you accpet a list called lecturers per faculty, and then assign modules to a lecturer. Naming then in the convention department_uniqueidentifier</t>
  </si>
  <si>
    <t>Start Time</t>
  </si>
  <si>
    <t>Monday</t>
  </si>
  <si>
    <t>Tuesday</t>
  </si>
  <si>
    <t>Wednesday</t>
  </si>
  <si>
    <t>Friday</t>
  </si>
  <si>
    <t>Least Favourite Slots</t>
  </si>
  <si>
    <t>1,10,11,20,21,27,36,37,46</t>
  </si>
  <si>
    <t>MON</t>
  </si>
  <si>
    <t>TUE</t>
  </si>
  <si>
    <t>WED</t>
  </si>
  <si>
    <t>THU</t>
  </si>
  <si>
    <t>FRI</t>
  </si>
  <si>
    <t>Variable</t>
  </si>
  <si>
    <t>Min Hours</t>
  </si>
  <si>
    <t>Max Hours</t>
  </si>
  <si>
    <t>Fast</t>
  </si>
  <si>
    <t>students_per_faculty_year</t>
  </si>
  <si>
    <t>[[893,1517,714,1339],[766,1302,613,1149],[520,884,416,780],[937,1358,639,1414]]</t>
  </si>
  <si>
    <t>num_courses_list</t>
  </si>
  <si>
    <t>[[7, 11, 4, 10],[7, 11, 4, 10],[7, 11, 4, 10],[6,13,5,6]]</t>
  </si>
  <si>
    <t>num_assigned_modules</t>
  </si>
  <si>
    <t>num_total_modules</t>
  </si>
  <si>
    <t>num_lectures_list</t>
  </si>
  <si>
    <t>[3, 2, 2, 3]</t>
  </si>
  <si>
    <t>[4, 3, 4, 4]</t>
  </si>
  <si>
    <t>num_teachers_per_faculty</t>
  </si>
  <si>
    <t>Fast is just chancelors</t>
  </si>
  <si>
    <t>Rooms</t>
  </si>
  <si>
    <t>V10</t>
  </si>
  <si>
    <t>First working version</t>
  </si>
  <si>
    <t>V11</t>
  </si>
  <si>
    <t>Sorts rooms smallest to largest, prioritises lectures with large size</t>
  </si>
  <si>
    <t>v12</t>
  </si>
  <si>
    <t>Adds optimal hours</t>
  </si>
  <si>
    <t>v13</t>
  </si>
  <si>
    <t>Assign first years last</t>
  </si>
  <si>
    <t>v14</t>
  </si>
  <si>
    <t>v15</t>
  </si>
  <si>
    <t>v16</t>
  </si>
  <si>
    <t>All University</t>
  </si>
  <si>
    <t>Chancellors Building</t>
  </si>
  <si>
    <t>Average Capacity</t>
  </si>
  <si>
    <t>Unique Modules</t>
  </si>
  <si>
    <t>Unique Lectures</t>
  </si>
  <si>
    <t>2835/4122</t>
  </si>
  <si>
    <t>Roughly 5 times smaller</t>
  </si>
  <si>
    <t>Number of Undergraduate</t>
  </si>
  <si>
    <t>Number of Postgraduate</t>
  </si>
  <si>
    <t>Courses</t>
  </si>
  <si>
    <t>Engineering &amp; Design (20%)</t>
  </si>
  <si>
    <t>Humanities &amp; Social Sciences (34%)</t>
  </si>
  <si>
    <t>School of Management (16%)</t>
  </si>
  <si>
    <t>Science (30%)</t>
  </si>
  <si>
    <t>Bus (55.4%)</t>
  </si>
  <si>
    <t>Foot (7.0%)</t>
  </si>
  <si>
    <t>Bike (2.6%)</t>
  </si>
  <si>
    <t>Other (Carbon Producing)(35.0%)</t>
  </si>
  <si>
    <t>failed</t>
  </si>
  <si>
    <t>v13 with number of days per students</t>
  </si>
  <si>
    <t>v17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</si>
</sst>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00%"/>
    <numFmt numFmtId="165" formatCode="0.00000000000000%"/>
    <numFmt numFmtId="166" formatCode="[$-F400]h:mm:ss\ AM/PM"/>
  </numFmts>
  <fonts count="12">
    <font>
      <sz val="12"/>
      <color theme="1"/>
      <name val="Calibri"/>
      <family val="2"/>
      <scheme val="minor"/>
    </font>
    <font>
      <sz val="13"/>
      <color theme="1"/>
      <name val=".AppleSystemUIFont"/>
    </font>
    <font>
      <sz val="12"/>
      <color theme="1"/>
      <name val="Helvetica"/>
      <family val="2"/>
    </font>
    <font>
      <sz val="12"/>
      <color rgb="FF000000"/>
      <name val="Calibri"/>
      <family val="2"/>
      <scheme val="minor"/>
    </font>
    <font>
      <sz val="14"/>
      <color rgb="FF454545"/>
      <name val="Courier New"/>
      <family val="1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1"/>
      <color rgb="FF595959"/>
      <name val="Helvetica Neue"/>
      <family val="2"/>
    </font>
    <font>
      <sz val="11"/>
      <color rgb="FF222222"/>
      <name val="Helvetica Neue"/>
      <family val="2"/>
    </font>
    <font>
      <b/>
      <sz val="12"/>
      <color theme="0"/>
      <name val="Calibri"/>
      <family val="2"/>
      <scheme val="minor"/>
    </font>
    <font>
      <sz val="12"/>
      <color theme="1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D9E1F2"/>
        <bgColor rgb="FFD9E1F2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theme="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  <border>
      <left style="thin">
        <color theme="4" tint="0.39997558519241921"/>
      </left>
      <right/>
      <top style="thin">
        <color theme="4" tint="0.39997558519241921"/>
      </top>
      <bottom/>
      <diagonal/>
    </border>
    <border>
      <left/>
      <right/>
      <top style="thin">
        <color theme="4" tint="0.39997558519241921"/>
      </top>
      <bottom/>
      <diagonal/>
    </border>
    <border>
      <left/>
      <right style="thin">
        <color theme="4" tint="0.39997558519241921"/>
      </right>
      <top style="thin">
        <color theme="4" tint="0.39997558519241921"/>
      </top>
      <bottom/>
      <diagonal/>
    </border>
    <border>
      <left/>
      <right style="thin">
        <color rgb="FF8EA9DB"/>
      </right>
      <top style="thin">
        <color rgb="FF8EA9DB"/>
      </top>
      <bottom style="thin">
        <color rgb="FF8EA9DB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rgb="FF000000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thin">
        <color theme="4" tint="0.39997558519241921"/>
      </bottom>
      <diagonal/>
    </border>
  </borders>
  <cellStyleXfs count="2">
    <xf numFmtId="0" fontId="0" fillId="0" borderId="0"/>
    <xf numFmtId="0" fontId="7" fillId="0" borderId="0"/>
  </cellStyleXfs>
  <cellXfs count="110">
    <xf numFmtId="0" fontId="0" fillId="0" borderId="0" xfId="0"/>
    <xf numFmtId="20" fontId="0" fillId="0" borderId="0" xfId="0" applyNumberFormat="1"/>
    <xf numFmtId="0" fontId="1" fillId="0" borderId="0" xfId="0" applyFont="1"/>
    <xf numFmtId="20" fontId="1" fillId="0" borderId="0" xfId="0" applyNumberFormat="1" applyFont="1"/>
    <xf numFmtId="0" fontId="2" fillId="0" borderId="0" xfId="0" applyFont="1"/>
    <xf numFmtId="0" fontId="1" fillId="0" borderId="1" xfId="0" applyFont="1" applyBorder="1"/>
    <xf numFmtId="20" fontId="1" fillId="0" borderId="1" xfId="0" applyNumberFormat="1" applyFont="1" applyBorder="1"/>
    <xf numFmtId="0" fontId="2" fillId="0" borderId="1" xfId="0" applyFont="1" applyBorder="1"/>
    <xf numFmtId="0" fontId="1" fillId="0" borderId="2" xfId="0" applyFont="1" applyBorder="1"/>
    <xf numFmtId="20" fontId="0" fillId="0" borderId="3" xfId="0" applyNumberFormat="1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1" fillId="0" borderId="7" xfId="0" applyFont="1" applyBorder="1"/>
    <xf numFmtId="0" fontId="1" fillId="0" borderId="8" xfId="0" applyFont="1" applyBorder="1"/>
    <xf numFmtId="0" fontId="2" fillId="0" borderId="8" xfId="0" applyFont="1" applyBorder="1"/>
    <xf numFmtId="20" fontId="0" fillId="0" borderId="9" xfId="0" applyNumberFormat="1" applyBorder="1"/>
    <xf numFmtId="20" fontId="1" fillId="0" borderId="8" xfId="0" applyNumberFormat="1" applyFont="1" applyBorder="1"/>
    <xf numFmtId="20" fontId="0" fillId="0" borderId="1" xfId="0" applyNumberFormat="1" applyBorder="1"/>
    <xf numFmtId="0" fontId="1" fillId="2" borderId="1" xfId="0" applyFont="1" applyFill="1" applyBorder="1"/>
    <xf numFmtId="20" fontId="1" fillId="2" borderId="1" xfId="0" applyNumberFormat="1" applyFont="1" applyFill="1" applyBorder="1"/>
    <xf numFmtId="20" fontId="0" fillId="2" borderId="1" xfId="0" applyNumberFormat="1" applyFill="1" applyBorder="1"/>
    <xf numFmtId="0" fontId="1" fillId="2" borderId="10" xfId="0" applyFont="1" applyFill="1" applyBorder="1"/>
    <xf numFmtId="0" fontId="1" fillId="2" borderId="11" xfId="0" applyFont="1" applyFill="1" applyBorder="1"/>
    <xf numFmtId="20" fontId="1" fillId="2" borderId="11" xfId="0" applyNumberFormat="1" applyFont="1" applyFill="1" applyBorder="1"/>
    <xf numFmtId="20" fontId="0" fillId="2" borderId="12" xfId="0" applyNumberFormat="1" applyFill="1" applyBorder="1"/>
    <xf numFmtId="0" fontId="1" fillId="0" borderId="10" xfId="0" applyFont="1" applyBorder="1"/>
    <xf numFmtId="0" fontId="1" fillId="0" borderId="11" xfId="0" applyFont="1" applyBorder="1"/>
    <xf numFmtId="20" fontId="1" fillId="0" borderId="11" xfId="0" applyNumberFormat="1" applyFont="1" applyBorder="1"/>
    <xf numFmtId="20" fontId="0" fillId="0" borderId="12" xfId="0" applyNumberFormat="1" applyBorder="1"/>
    <xf numFmtId="0" fontId="2" fillId="2" borderId="11" xfId="0" applyFont="1" applyFill="1" applyBorder="1"/>
    <xf numFmtId="0" fontId="2" fillId="0" borderId="11" xfId="0" applyFont="1" applyBorder="1"/>
    <xf numFmtId="0" fontId="1" fillId="0" borderId="13" xfId="0" applyFont="1" applyBorder="1"/>
    <xf numFmtId="0" fontId="1" fillId="0" borderId="14" xfId="0" applyFont="1" applyBorder="1"/>
    <xf numFmtId="0" fontId="2" fillId="0" borderId="14" xfId="0" applyFont="1" applyBorder="1"/>
    <xf numFmtId="20" fontId="0" fillId="0" borderId="15" xfId="0" applyNumberFormat="1" applyBorder="1"/>
    <xf numFmtId="20" fontId="0" fillId="2" borderId="0" xfId="0" applyNumberFormat="1" applyFill="1"/>
    <xf numFmtId="20" fontId="3" fillId="3" borderId="16" xfId="0" applyNumberFormat="1" applyFont="1" applyFill="1" applyBorder="1"/>
    <xf numFmtId="0" fontId="4" fillId="0" borderId="0" xfId="0" applyFont="1"/>
    <xf numFmtId="0" fontId="0" fillId="2" borderId="0" xfId="0" applyFill="1"/>
    <xf numFmtId="0" fontId="3" fillId="3" borderId="0" xfId="0" applyFont="1" applyFill="1"/>
    <xf numFmtId="20" fontId="0" fillId="4" borderId="0" xfId="0" applyNumberFormat="1" applyFill="1"/>
    <xf numFmtId="0" fontId="6" fillId="0" borderId="0" xfId="0" applyFont="1"/>
    <xf numFmtId="0" fontId="6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0" borderId="1" xfId="0" applyFont="1" applyBorder="1"/>
    <xf numFmtId="0" fontId="0" fillId="0" borderId="1" xfId="0" applyBorder="1"/>
    <xf numFmtId="9" fontId="0" fillId="0" borderId="0" xfId="0" applyNumberFormat="1"/>
    <xf numFmtId="9" fontId="6" fillId="0" borderId="1" xfId="0" applyNumberFormat="1" applyFont="1" applyBorder="1"/>
    <xf numFmtId="0" fontId="7" fillId="0" borderId="0" xfId="1"/>
    <xf numFmtId="0" fontId="0" fillId="0" borderId="0" xfId="0" applyAlignment="1">
      <alignment horizontal="center"/>
    </xf>
    <xf numFmtId="0" fontId="6" fillId="0" borderId="8" xfId="0" applyFont="1" applyBorder="1" applyAlignment="1">
      <alignment horizontal="center"/>
    </xf>
    <xf numFmtId="20" fontId="0" fillId="0" borderId="1" xfId="0" applyNumberFormat="1" applyBorder="1" applyAlignment="1">
      <alignment horizontal="center"/>
    </xf>
    <xf numFmtId="0" fontId="0" fillId="0" borderId="17" xfId="0" applyBorder="1"/>
    <xf numFmtId="1" fontId="0" fillId="0" borderId="1" xfId="0" applyNumberFormat="1" applyBorder="1" applyAlignment="1">
      <alignment horizontal="center"/>
    </xf>
    <xf numFmtId="0" fontId="6" fillId="0" borderId="17" xfId="0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0" fontId="6" fillId="0" borderId="3" xfId="0" applyFont="1" applyBorder="1"/>
    <xf numFmtId="0" fontId="0" fillId="0" borderId="3" xfId="0" applyBorder="1"/>
    <xf numFmtId="20" fontId="6" fillId="0" borderId="1" xfId="0" applyNumberFormat="1" applyFont="1" applyBorder="1" applyAlignment="1">
      <alignment horizontal="center"/>
    </xf>
    <xf numFmtId="0" fontId="6" fillId="0" borderId="0" xfId="0" applyFont="1" applyAlignment="1">
      <alignment horizontal="center"/>
    </xf>
    <xf numFmtId="1" fontId="0" fillId="0" borderId="0" xfId="0" applyNumberFormat="1" applyAlignment="1">
      <alignment horizontal="center"/>
    </xf>
    <xf numFmtId="20" fontId="6" fillId="0" borderId="0" xfId="0" applyNumberFormat="1" applyFont="1" applyAlignment="1">
      <alignment horizontal="center"/>
    </xf>
    <xf numFmtId="0" fontId="0" fillId="0" borderId="8" xfId="0" applyBorder="1"/>
    <xf numFmtId="0" fontId="0" fillId="0" borderId="8" xfId="0" applyBorder="1" applyAlignment="1">
      <alignment horizontal="center"/>
    </xf>
    <xf numFmtId="0" fontId="0" fillId="0" borderId="19" xfId="0" applyBorder="1"/>
    <xf numFmtId="20" fontId="0" fillId="0" borderId="19" xfId="0" applyNumberFormat="1" applyBorder="1"/>
    <xf numFmtId="10" fontId="0" fillId="0" borderId="0" xfId="0" applyNumberFormat="1"/>
    <xf numFmtId="10" fontId="0" fillId="0" borderId="1" xfId="0" applyNumberFormat="1" applyBorder="1"/>
    <xf numFmtId="164" fontId="0" fillId="0" borderId="1" xfId="0" applyNumberFormat="1" applyBorder="1"/>
    <xf numFmtId="9" fontId="0" fillId="0" borderId="1" xfId="0" applyNumberFormat="1" applyBorder="1"/>
    <xf numFmtId="165" fontId="0" fillId="0" borderId="1" xfId="0" applyNumberFormat="1" applyBorder="1"/>
    <xf numFmtId="21" fontId="0" fillId="0" borderId="0" xfId="0" applyNumberFormat="1"/>
    <xf numFmtId="0" fontId="0" fillId="0" borderId="21" xfId="0" applyBorder="1"/>
    <xf numFmtId="20" fontId="3" fillId="0" borderId="0" xfId="0" applyNumberFormat="1" applyFont="1"/>
    <xf numFmtId="20" fontId="0" fillId="0" borderId="0" xfId="0" applyNumberFormat="1" applyAlignment="1">
      <alignment horizontal="right"/>
    </xf>
    <xf numFmtId="0" fontId="6" fillId="0" borderId="17" xfId="0" applyFont="1" applyBorder="1"/>
    <xf numFmtId="0" fontId="0" fillId="0" borderId="17" xfId="0" applyBorder="1" applyAlignment="1">
      <alignment horizontal="center"/>
    </xf>
    <xf numFmtId="10" fontId="0" fillId="0" borderId="1" xfId="0" applyNumberFormat="1" applyBorder="1" applyAlignment="1">
      <alignment horizontal="center"/>
    </xf>
    <xf numFmtId="49" fontId="0" fillId="0" borderId="0" xfId="0" applyNumberFormat="1"/>
    <xf numFmtId="0" fontId="8" fillId="0" borderId="0" xfId="0" applyFont="1"/>
    <xf numFmtId="0" fontId="9" fillId="0" borderId="0" xfId="0" applyFont="1"/>
    <xf numFmtId="0" fontId="0" fillId="0" borderId="2" xfId="0" applyBorder="1"/>
    <xf numFmtId="20" fontId="2" fillId="0" borderId="0" xfId="0" applyNumberFormat="1" applyFont="1"/>
    <xf numFmtId="166" fontId="0" fillId="0" borderId="0" xfId="0" applyNumberFormat="1"/>
    <xf numFmtId="0" fontId="6" fillId="0" borderId="1" xfId="0" applyFont="1" applyBorder="1" applyAlignment="1">
      <alignment horizontal="center"/>
    </xf>
    <xf numFmtId="0" fontId="0" fillId="0" borderId="22" xfId="0" applyBorder="1"/>
    <xf numFmtId="0" fontId="0" fillId="0" borderId="2" xfId="0" applyBorder="1"/>
    <xf numFmtId="0" fontId="6" fillId="0" borderId="0" xfId="0" applyFont="1" applyAlignment="1">
      <alignment horizontal="center"/>
    </xf>
    <xf numFmtId="0" fontId="0" fillId="0" borderId="0" xfId="0"/>
    <xf numFmtId="0" fontId="0" fillId="0" borderId="1" xfId="0" applyBorder="1" applyAlignment="1">
      <alignment horizontal="center" vertical="top"/>
    </xf>
    <xf numFmtId="0" fontId="0" fillId="0" borderId="17" xfId="0" applyBorder="1"/>
    <xf numFmtId="0" fontId="0" fillId="0" borderId="5" xfId="0" applyBorder="1"/>
    <xf numFmtId="0" fontId="0" fillId="0" borderId="20" xfId="0" applyBorder="1" applyAlignment="1">
      <alignment horizontal="center"/>
    </xf>
    <xf numFmtId="0" fontId="0" fillId="0" borderId="20" xfId="0" applyBorder="1"/>
    <xf numFmtId="0" fontId="0" fillId="0" borderId="0" xfId="0" applyAlignment="1">
      <alignment horizontal="center"/>
    </xf>
    <xf numFmtId="0" fontId="6" fillId="0" borderId="18" xfId="0" applyFont="1" applyBorder="1" applyAlignment="1">
      <alignment horizontal="center"/>
    </xf>
    <xf numFmtId="0" fontId="0" fillId="0" borderId="18" xfId="0" applyBorder="1"/>
    <xf numFmtId="0" fontId="0" fillId="2" borderId="11" xfId="0" applyFont="1" applyFill="1" applyBorder="1"/>
    <xf numFmtId="0" fontId="0" fillId="0" borderId="11" xfId="0" applyFont="1" applyBorder="1"/>
    <xf numFmtId="0" fontId="11" fillId="0" borderId="23" xfId="0" applyFont="1" applyBorder="1" applyAlignment="1">
      <alignment vertical="center" wrapText="1"/>
    </xf>
    <xf numFmtId="0" fontId="11" fillId="0" borderId="24" xfId="0" applyFont="1" applyBorder="1" applyAlignment="1">
      <alignment vertical="center" wrapText="1"/>
    </xf>
    <xf numFmtId="0" fontId="11" fillId="0" borderId="25" xfId="0" applyFont="1" applyBorder="1" applyAlignment="1">
      <alignment vertical="center" wrapText="1"/>
    </xf>
    <xf numFmtId="0" fontId="11" fillId="0" borderId="26" xfId="0" applyFont="1" applyBorder="1" applyAlignment="1">
      <alignment vertical="center" wrapText="1"/>
    </xf>
    <xf numFmtId="0" fontId="11" fillId="0" borderId="27" xfId="0" applyFont="1" applyBorder="1" applyAlignment="1">
      <alignment vertical="center" wrapText="1"/>
    </xf>
    <xf numFmtId="0" fontId="11" fillId="0" borderId="25" xfId="0" applyFont="1" applyBorder="1" applyAlignment="1">
      <alignment vertical="center" wrapText="1"/>
    </xf>
    <xf numFmtId="0" fontId="10" fillId="5" borderId="28" xfId="0" applyFont="1" applyFill="1" applyBorder="1"/>
    <xf numFmtId="0" fontId="0" fillId="2" borderId="14" xfId="0" applyFont="1" applyFill="1" applyBorder="1"/>
    <xf numFmtId="0" fontId="6" fillId="0" borderId="1" xfId="1" applyFont="1" applyBorder="1" applyAlignment="1">
      <alignment horizontal="center"/>
    </xf>
    <xf numFmtId="0" fontId="0" fillId="0" borderId="1" xfId="0" applyBorder="1"/>
  </cellXfs>
  <cellStyles count="2">
    <cellStyle name="Hyperlink" xfId="1" builtinId="8"/>
    <cellStyle name="Normal" xfId="0" builtinId="0"/>
  </cellStyles>
  <dxfs count="93"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fill>
        <patternFill patternType="solid">
          <fgColor theme="4"/>
          <bgColor theme="4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border outline="0">
        <top style="thin">
          <color theme="4" tint="0.39997558519241921"/>
        </top>
      </border>
    </dxf>
    <dxf>
      <border outline="0">
        <bottom style="thin">
          <color theme="4" tint="0.39997558519241921"/>
        </bottom>
      </border>
    </dxf>
    <dxf>
      <border outline="0">
        <left style="thin">
          <color theme="4" tint="0.39997558519241921"/>
        </left>
        <right style="thin">
          <color theme="4" tint="0.39997558519241921"/>
        </right>
        <top style="thin">
          <color theme="4" tint="0.39997558519241921"/>
        </top>
        <bottom style="thin">
          <color theme="4" tint="0.39997558519241921"/>
        </bottom>
      </border>
    </dxf>
    <dxf>
      <numFmt numFmtId="0" formatCode="General"/>
    </dxf>
    <dxf>
      <numFmt numFmtId="25" formatCode="hh:mm"/>
    </dxf>
    <dxf>
      <numFmt numFmtId="25" formatCode="hh:mm"/>
    </dxf>
    <dxf>
      <numFmt numFmtId="25" formatCode="hh:mm"/>
    </dxf>
    <dxf>
      <numFmt numFmtId="25" formatCode="hh:mm"/>
    </dxf>
    <dxf>
      <font>
        <strike val="0"/>
        <condense val="0"/>
        <extend val="0"/>
        <outline val="0"/>
        <shadow val="0"/>
        <vertAlign val="baseline"/>
        <sz val="12"/>
        <color theme="1"/>
        <name val="Calibri"/>
        <family val="2"/>
        <scheme val="minor"/>
      </font>
      <numFmt numFmtId="0" formatCode="General"/>
    </dxf>
    <dxf>
      <font>
        <strike val="0"/>
        <condense val="0"/>
        <extend val="0"/>
        <outline val="0"/>
        <shadow val="0"/>
        <vertAlign val="baseline"/>
        <sz val="12"/>
        <color theme="1"/>
        <name val="Calibri"/>
        <family val="2"/>
        <scheme val="minor"/>
      </font>
      <numFmt numFmtId="0" formatCode="General"/>
    </dxf>
    <dxf>
      <font>
        <strike val="0"/>
        <condense val="0"/>
        <extend val="0"/>
        <outline val="0"/>
        <shadow val="0"/>
        <vertAlign val="baseline"/>
        <sz val="12"/>
        <color theme="1"/>
        <name val="Calibri"/>
        <family val="2"/>
        <scheme val="minor"/>
      </font>
      <numFmt numFmtId="25" formatCode="hh:mm"/>
    </dxf>
    <dxf>
      <font>
        <strike val="0"/>
        <condense val="0"/>
        <extend val="0"/>
        <outline val="0"/>
        <shadow val="0"/>
        <vertAlign val="baseline"/>
        <sz val="12"/>
        <color theme="1"/>
        <name val="Calibri"/>
        <family val="2"/>
        <scheme val="minor"/>
      </font>
      <numFmt numFmtId="25" formatCode="hh:mm"/>
      <border>
        <left/>
        <right style="thin">
          <color theme="4" tint="0.39997558519241921"/>
        </right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 style="thin">
          <color theme="4" tint="0.39997558519241921"/>
        </left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border outline="0">
        <bottom style="thin">
          <color rgb="FF8EA9DB"/>
        </bottom>
      </border>
    </dxf>
    <dxf>
      <border outline="0">
        <bottom style="thin">
          <color rgb="FF000000"/>
        </bottom>
      </border>
    </dxf>
    <dxf>
      <border outline="0">
        <left style="thin">
          <color indexed="64"/>
        </left>
        <right style="thin">
          <color indexed="64"/>
        </right>
        <top/>
        <bottom/>
      </border>
    </dxf>
    <dxf>
      <numFmt numFmtId="25" formatCode="hh:mm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font>
        <strike val="0"/>
        <condense val="0"/>
        <extend val="0"/>
        <outline val="0"/>
        <shadow val="0"/>
        <vertAlign val="baseline"/>
        <sz val="12"/>
        <color theme="1"/>
        <name val="Calibri"/>
        <family val="2"/>
        <scheme val="minor"/>
      </font>
      <numFmt numFmtId="25" formatCode="hh:mm"/>
      <border>
        <left/>
        <right style="thin">
          <color theme="4" tint="0.39997558519241921"/>
        </right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2"/>
        <color theme="1"/>
        <name val="Helvetica"/>
        <family val="2"/>
      </font>
      <border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 style="thin">
          <color theme="4" tint="0.39997558519241921"/>
        </left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border outline="0">
        <bottom style="thin">
          <color rgb="FF8EA9DB"/>
        </bottom>
      </border>
    </dxf>
    <dxf>
      <border outline="0">
        <bottom style="thin">
          <color rgb="FF000000"/>
        </bottom>
      </border>
    </dxf>
    <dxf>
      <border outline="0">
        <left style="thin">
          <color indexed="64"/>
        </left>
        <right style="thin">
          <color indexed="64"/>
        </right>
        <top/>
        <bottom/>
      </border>
    </dxf>
    <dxf>
      <numFmt numFmtId="25" formatCode="hh:mm"/>
    </dxf>
    <dxf>
      <font>
        <strike val="0"/>
        <condense val="0"/>
        <extend val="0"/>
        <outline val="0"/>
        <shadow val="0"/>
        <vertAlign val="baseline"/>
        <sz val="12"/>
        <color theme="1"/>
        <name val="Helvetica"/>
        <family val="2"/>
      </font>
    </dxf>
    <dxf>
      <font>
        <strike val="0"/>
        <condense val="0"/>
        <extend val="0"/>
        <outline val="0"/>
        <shadow val="0"/>
        <vertAlign val="baseline"/>
        <sz val="12"/>
        <color theme="1"/>
        <name val="Helvetica"/>
        <family val="2"/>
      </font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</dxf>
    <dxf>
      <border outline="0">
        <bottom style="thin">
          <color rgb="FF000000"/>
        </bottom>
      </border>
    </dxf>
    <dxf>
      <border outline="0">
        <left style="thin">
          <color indexed="64"/>
        </left>
        <right style="thin">
          <color indexed="64"/>
        </right>
        <top/>
        <bottom/>
      </border>
    </dxf>
    <dxf>
      <numFmt numFmtId="25" formatCode="hh:mm"/>
      <border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2"/>
        <color theme="1"/>
        <name val="Helvetica"/>
        <family val="2"/>
      </font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2"/>
        <color theme="1"/>
        <name val="Helvetica"/>
        <family val="2"/>
      </font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rgb="FF000000"/>
        </top>
      </border>
    </dxf>
    <dxf>
      <border outline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border outline="0">
        <bottom style="thin">
          <color rgb="FF000000"/>
        </bottom>
      </border>
    </dxf>
    <dxf>
      <border outline="0">
        <left style="thin">
          <color indexed="64"/>
        </left>
        <right style="thin">
          <color indexed="64"/>
        </right>
        <top/>
        <bottom/>
      </border>
    </dxf>
    <dxf>
      <numFmt numFmtId="25" formatCode="hh:mm"/>
    </dxf>
    <dxf>
      <numFmt numFmtId="25" formatCode="hh:mm"/>
    </dxf>
    <dxf>
      <numFmt numFmtId="25" formatCode="hh:mm"/>
    </dxf>
    <dxf>
      <font>
        <strike val="0"/>
        <condense val="0"/>
        <extend val="0"/>
        <outline val="0"/>
        <shadow val="0"/>
        <vertAlign val="baseline"/>
        <sz val="12"/>
        <color theme="1"/>
        <name val="Calibri"/>
        <family val="2"/>
        <scheme val="minor"/>
      </font>
      <numFmt numFmtId="0" formatCode="General"/>
    </dxf>
    <dxf>
      <font>
        <strike val="0"/>
        <condense val="0"/>
        <extend val="0"/>
        <outline val="0"/>
        <shadow val="0"/>
        <vertAlign val="baseline"/>
        <sz val="12"/>
        <color theme="1"/>
        <name val="Calibri"/>
        <family val="2"/>
        <scheme val="minor"/>
      </font>
      <numFmt numFmtId="0" formatCode="General"/>
    </dxf>
    <dxf>
      <font>
        <strike val="0"/>
        <condense val="0"/>
        <extend val="0"/>
        <outline val="0"/>
        <shadow val="0"/>
        <vertAlign val="baseline"/>
        <sz val="12"/>
        <color theme="1"/>
        <name val="Calibri"/>
        <family val="2"/>
        <scheme val="minor"/>
      </font>
      <numFmt numFmtId="25" formatCode="hh:mm"/>
    </dxf>
    <dxf>
      <font>
        <strike val="0"/>
        <condense val="0"/>
        <extend val="0"/>
        <outline val="0"/>
        <shadow val="0"/>
        <vertAlign val="baseline"/>
        <sz val="12"/>
        <color theme="1"/>
        <name val="Calibri"/>
        <family val="2"/>
        <scheme val="minor"/>
      </font>
      <numFmt numFmtId="25" formatCode="hh:mm"/>
      <border>
        <left/>
        <right style="thin">
          <color theme="4" tint="0.39997558519241921"/>
        </right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 style="thin">
          <color theme="4" tint="0.39997558519241921"/>
        </left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border outline="0">
        <bottom style="thin">
          <color theme="4" tint="0.39997558519241921"/>
        </bottom>
      </border>
    </dxf>
    <dxf>
      <border outline="0">
        <bottom style="thin">
          <color indexed="64"/>
        </bottom>
      </border>
    </dxf>
    <dxf>
      <border outline="0">
        <left style="thin">
          <color indexed="64"/>
        </left>
        <right style="thin">
          <color indexed="64"/>
        </right>
        <top/>
        <bottom/>
      </border>
    </dxf>
    <dxf>
      <numFmt numFmtId="0" formatCode="General"/>
    </dxf>
    <dxf>
      <numFmt numFmtId="25" formatCode="hh:mm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font>
        <strike val="0"/>
        <condense val="0"/>
        <extend val="0"/>
        <outline val="0"/>
        <shadow val="0"/>
        <vertAlign val="baseline"/>
        <sz val="12"/>
        <color theme="1"/>
        <name val="Calibri"/>
        <family val="2"/>
        <scheme val="minor"/>
      </font>
      <numFmt numFmtId="25" formatCode="hh:mm"/>
      <border>
        <left/>
        <right style="thin">
          <color theme="4" tint="0.39997558519241921"/>
        </right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2"/>
        <color theme="1"/>
        <name val="Helvetica"/>
        <family val="2"/>
      </font>
      <border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 style="thin">
          <color theme="4" tint="0.39997558519241921"/>
        </left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border outline="0">
        <bottom style="thin">
          <color theme="4" tint="0.39997558519241921"/>
        </bottom>
      </border>
    </dxf>
    <dxf>
      <border outline="0">
        <bottom style="thin">
          <color indexed="64"/>
        </bottom>
      </border>
    </dxf>
    <dxf>
      <border outline="0">
        <left style="thin">
          <color indexed="64"/>
        </left>
        <right style="thin">
          <color indexed="64"/>
        </right>
        <top/>
        <bottom/>
      </border>
    </dxf>
    <dxf>
      <numFmt numFmtId="25" formatCode="hh:mm"/>
    </dxf>
    <dxf>
      <font>
        <strike val="0"/>
        <condense val="0"/>
        <extend val="0"/>
        <outline val="0"/>
        <shadow val="0"/>
        <vertAlign val="baseline"/>
        <sz val="12"/>
        <color theme="1"/>
        <name val="Helvetica"/>
        <family val="2"/>
      </font>
    </dxf>
    <dxf>
      <font>
        <strike val="0"/>
        <condense val="0"/>
        <extend val="0"/>
        <outline val="0"/>
        <shadow val="0"/>
        <vertAlign val="baseline"/>
        <sz val="12"/>
        <color theme="1"/>
        <name val="Helvetica"/>
        <family val="2"/>
      </font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</dxf>
    <dxf>
      <border outline="0">
        <bottom style="thin">
          <color indexed="64"/>
        </bottom>
      </border>
    </dxf>
    <dxf>
      <border outline="0">
        <left style="thin">
          <color indexed="64"/>
        </left>
        <right style="thin">
          <color indexed="64"/>
        </right>
        <top/>
        <bottom/>
      </border>
    </dxf>
    <dxf>
      <numFmt numFmtId="25" formatCode="hh:mm"/>
      <border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2"/>
        <color theme="1"/>
        <name val="Helvetica"/>
        <family val="2"/>
      </font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2"/>
        <color theme="1"/>
        <name val="Helvetica"/>
        <family val="2"/>
      </font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strike val="0"/>
        <condense val="0"/>
        <extend val="0"/>
        <outline val="0"/>
        <shadow val="0"/>
        <vertAlign val="baseline"/>
        <sz val="13"/>
        <color theme="1"/>
        <name val=".AppleSystemUIFont"/>
      </font>
      <border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border outline="0">
        <left style="thin">
          <color indexed="64"/>
        </left>
        <right style="thin">
          <color indexed="64"/>
        </right>
        <top/>
        <bottom/>
      </border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pieChart>
        <c:varyColors val="1"/>
        <c:ser>
          <c:idx val="0"/>
          <c:order val="0"/>
          <c:tx>
            <c:strRef>
              <c:f>'Impact on Footprint'!$C$1</c:f>
              <c:strCache>
                <c:ptCount val="1"/>
                <c:pt idx="0">
                  <c:v>Impact on Footprint</c:v>
                </c:pt>
              </c:strCache>
            </c:strRef>
          </c:tx>
          <c:spPr>
            <a:ln>
              <a:prstDash val="solid"/>
            </a:ln>
          </c:spPr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1-DFAE-0C44-8965-5D61308312B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3-DFAE-0C44-8965-5D61308312B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5-DFAE-0C44-8965-5D61308312B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7-DFAE-0C44-8965-5D61308312B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9-DFAE-0C44-8965-5D61308312B6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B-DFAE-0C44-8965-5D61308312B6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D-DFAE-0C44-8965-5D61308312B6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F-DFAE-0C44-8965-5D61308312B6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1-DFAE-0C44-8965-5D61308312B6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3-DFAE-0C44-8965-5D61308312B6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5-DFAE-0C44-8965-5D61308312B6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7-DFAE-0C44-8965-5D61308312B6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9-DFAE-0C44-8965-5D61308312B6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Off val="75000"/>
                    <a:lumMod val="25000"/>
                  </a:sysClr>
                </a:solidFill>
                <a:prstDash val="solid"/>
              </a:ln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'Impact on Footprint'!$B$2:$B$14</c:f>
              <c:strCache>
                <c:ptCount val="13"/>
                <c:pt idx="0">
                  <c:v>Natural Gas</c:v>
                </c:pt>
                <c:pt idx="1">
                  <c:v>Fuels</c:v>
                </c:pt>
                <c:pt idx="2">
                  <c:v>Fugitive Emissions</c:v>
                </c:pt>
                <c:pt idx="3">
                  <c:v>Electricity</c:v>
                </c:pt>
                <c:pt idx="4">
                  <c:v>Purchased Goods &amp; Services</c:v>
                </c:pt>
                <c:pt idx="5">
                  <c:v>Capital Goods</c:v>
                </c:pt>
                <c:pt idx="6">
                  <c:v>Fuel &amp; Energy Related Activities</c:v>
                </c:pt>
                <c:pt idx="7">
                  <c:v>Upstream Transportation &amp; Distribution</c:v>
                </c:pt>
                <c:pt idx="8">
                  <c:v>Waste Generated in Operations</c:v>
                </c:pt>
                <c:pt idx="9">
                  <c:v>Business Travel</c:v>
                </c:pt>
                <c:pt idx="10">
                  <c:v>Employee Comuting</c:v>
                </c:pt>
                <c:pt idx="11">
                  <c:v>Upstream Leased Assets</c:v>
                </c:pt>
                <c:pt idx="12">
                  <c:v>Investments</c:v>
                </c:pt>
              </c:strCache>
            </c:strRef>
          </c:cat>
          <c:val>
            <c:numRef>
              <c:f>'Impact on Footprint'!$C$2:$C$14</c:f>
              <c:numCache>
                <c:formatCode>General</c:formatCode>
                <c:ptCount val="13"/>
                <c:pt idx="0">
                  <c:v>10</c:v>
                </c:pt>
                <c:pt idx="1">
                  <c:v>0.1</c:v>
                </c:pt>
                <c:pt idx="2">
                  <c:v>0.1</c:v>
                </c:pt>
                <c:pt idx="3">
                  <c:v>5</c:v>
                </c:pt>
                <c:pt idx="4">
                  <c:v>39</c:v>
                </c:pt>
                <c:pt idx="5">
                  <c:v>12</c:v>
                </c:pt>
                <c:pt idx="6">
                  <c:v>4</c:v>
                </c:pt>
                <c:pt idx="7">
                  <c:v>0</c:v>
                </c:pt>
                <c:pt idx="8">
                  <c:v>0.1</c:v>
                </c:pt>
                <c:pt idx="9">
                  <c:v>0.1</c:v>
                </c:pt>
                <c:pt idx="10">
                  <c:v>26</c:v>
                </c:pt>
                <c:pt idx="11">
                  <c:v>0</c:v>
                </c:pt>
                <c:pt idx="1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A-DFAE-0C44-8965-5D61308312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xVal>
            <c:numRef>
              <c:f>'Bus Sheet (2)'!$AN$3:$AN$10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 (2)'!$AO$3:$AO$10</c:f>
              <c:numCache>
                <c:formatCode>h:mm</c:formatCode>
                <c:ptCount val="8"/>
                <c:pt idx="0">
                  <c:v>2.749999999999999E-2</c:v>
                </c:pt>
                <c:pt idx="1">
                  <c:v>2.4545454545454547E-2</c:v>
                </c:pt>
                <c:pt idx="2">
                  <c:v>2.5052083333333332E-2</c:v>
                </c:pt>
                <c:pt idx="3">
                  <c:v>2.5859375E-2</c:v>
                </c:pt>
                <c:pt idx="4">
                  <c:v>2.5000000000000005E-2</c:v>
                </c:pt>
                <c:pt idx="5">
                  <c:v>2.5980902777777766E-2</c:v>
                </c:pt>
                <c:pt idx="6">
                  <c:v>3.0401234567901239E-2</c:v>
                </c:pt>
                <c:pt idx="7">
                  <c:v>3.0989583333333334E-2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C1DC-FA46-9D27-43F94EB21545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xVal>
            <c:numRef>
              <c:f>'Bus Sheet (2)'!$AN$3:$AN$10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 (2)'!$AR$3:$AR$10</c:f>
              <c:numCache>
                <c:formatCode>h:mm</c:formatCode>
                <c:ptCount val="8"/>
                <c:pt idx="0">
                  <c:v>2.916666666666673E-2</c:v>
                </c:pt>
                <c:pt idx="1">
                  <c:v>2.6249999999999999E-2</c:v>
                </c:pt>
                <c:pt idx="2">
                  <c:v>2.5312500000000002E-2</c:v>
                </c:pt>
                <c:pt idx="3">
                  <c:v>2.5937499999999999E-2</c:v>
                </c:pt>
                <c:pt idx="4">
                  <c:v>2.5000000000000001E-2</c:v>
                </c:pt>
                <c:pt idx="5">
                  <c:v>2.5000000000000001E-2</c:v>
                </c:pt>
                <c:pt idx="6">
                  <c:v>2.9861111111111116E-2</c:v>
                </c:pt>
                <c:pt idx="7">
                  <c:v>3.125E-2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C1DC-FA46-9D27-43F94EB215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66330160"/>
        <c:axId val="1256978240"/>
      </c:scatterChart>
      <c:valAx>
        <c:axId val="1066330160"/>
        <c:scaling>
          <c:orientation val="minMax"/>
          <c:min val="0.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6978240"/>
        <c:crosses val="autoZero"/>
        <c:crossBetween val="midCat"/>
      </c:valAx>
      <c:valAx>
        <c:axId val="1256978240"/>
        <c:scaling>
          <c:orientation val="minMax"/>
          <c:min val="2.2000000000000009E-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6330160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xVal>
            <c:numRef>
              <c:f>'Bus Sheet (2)'!$AN$3:$AN$10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 (2)'!$AV$3:$AV$10</c:f>
              <c:numCache>
                <c:formatCode>h:mm</c:formatCode>
                <c:ptCount val="8"/>
                <c:pt idx="0">
                  <c:v>2.6620370370370312E-2</c:v>
                </c:pt>
                <c:pt idx="1">
                  <c:v>2.5595238095238098E-2</c:v>
                </c:pt>
                <c:pt idx="2">
                  <c:v>2.3871527777777776E-2</c:v>
                </c:pt>
                <c:pt idx="3">
                  <c:v>2.4810606060606047E-2</c:v>
                </c:pt>
                <c:pt idx="4">
                  <c:v>2.416666666666669E-2</c:v>
                </c:pt>
                <c:pt idx="5">
                  <c:v>2.3524305555555541E-2</c:v>
                </c:pt>
                <c:pt idx="6">
                  <c:v>2.6388888888888906E-2</c:v>
                </c:pt>
                <c:pt idx="7">
                  <c:v>2.6388888888888906E-2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861-6645-8724-2F8C04556A4E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xVal>
            <c:numRef>
              <c:f>'Bus Sheet (2)'!$AN$3:$AN$10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 (2)'!$AY$3:$AY$10</c:f>
              <c:numCache>
                <c:formatCode>h:mm</c:formatCode>
                <c:ptCount val="8"/>
                <c:pt idx="0">
                  <c:v>2.7083333333333293E-2</c:v>
                </c:pt>
                <c:pt idx="1">
                  <c:v>2.5347222222222215E-2</c:v>
                </c:pt>
                <c:pt idx="2">
                  <c:v>2.4305555555555525E-2</c:v>
                </c:pt>
                <c:pt idx="3">
                  <c:v>2.5694444444444409E-2</c:v>
                </c:pt>
                <c:pt idx="4">
                  <c:v>2.3611111111111138E-2</c:v>
                </c:pt>
                <c:pt idx="5">
                  <c:v>2.3263888888888917E-2</c:v>
                </c:pt>
                <c:pt idx="6">
                  <c:v>2.6388888888888906E-2</c:v>
                </c:pt>
                <c:pt idx="7">
                  <c:v>2.6388888888888906E-2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8861-6645-8724-2F8C04556A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66330160"/>
        <c:axId val="1256978240"/>
      </c:scatterChart>
      <c:valAx>
        <c:axId val="1066330160"/>
        <c:scaling>
          <c:orientation val="minMax"/>
          <c:min val="0.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6978240"/>
        <c:crosses val="autoZero"/>
        <c:crossBetween val="midCat"/>
      </c:valAx>
      <c:valAx>
        <c:axId val="1256978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6330160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Morning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 (2)'!$AN$3:$AN$10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 (2)'!$AO$3:$AO$6</c:f>
              <c:numCache>
                <c:formatCode>h:mm</c:formatCode>
                <c:ptCount val="4"/>
                <c:pt idx="0">
                  <c:v>2.749999999999999E-2</c:v>
                </c:pt>
                <c:pt idx="1">
                  <c:v>2.4545454545454547E-2</c:v>
                </c:pt>
                <c:pt idx="2">
                  <c:v>2.5052083333333332E-2</c:v>
                </c:pt>
                <c:pt idx="3">
                  <c:v>2.5859375E-2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AF1-0046-BA10-DA261E67AC54}"/>
            </c:ext>
          </c:extLst>
        </c:ser>
        <c:ser>
          <c:idx val="1"/>
          <c:order val="1"/>
          <c:tx>
            <c:v>Afternoon</c:v>
          </c:tx>
          <c:spPr>
            <a:ln w="1905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 (2)'!$AN$7:$AN$10</c:f>
              <c:numCache>
                <c:formatCode>h:mm</c:formatCode>
                <c:ptCount val="4"/>
                <c:pt idx="0">
                  <c:v>0.63541666666666663</c:v>
                </c:pt>
                <c:pt idx="1">
                  <c:v>0.67708333333333337</c:v>
                </c:pt>
                <c:pt idx="2">
                  <c:v>0.71875</c:v>
                </c:pt>
                <c:pt idx="3">
                  <c:v>0.76041666666666663</c:v>
                </c:pt>
              </c:numCache>
            </c:numRef>
          </c:xVal>
          <c:yVal>
            <c:numRef>
              <c:f>'Bus Sheet (2)'!$AO$7:$AO$10</c:f>
              <c:numCache>
                <c:formatCode>h:mm</c:formatCode>
                <c:ptCount val="4"/>
                <c:pt idx="0">
                  <c:v>2.5000000000000005E-2</c:v>
                </c:pt>
                <c:pt idx="1">
                  <c:v>2.5980902777777766E-2</c:v>
                </c:pt>
                <c:pt idx="2">
                  <c:v>3.0401234567901239E-2</c:v>
                </c:pt>
                <c:pt idx="3">
                  <c:v>3.0989583333333334E-2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AF1-0046-BA10-DA261E67AC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8154208"/>
        <c:axId val="258156480"/>
      </c:scatterChart>
      <c:valAx>
        <c:axId val="2581542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8156480"/>
        <c:crosses val="autoZero"/>
        <c:crossBetween val="midCat"/>
      </c:valAx>
      <c:valAx>
        <c:axId val="258156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8154208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Morning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 (2)'!$AN$3:$AN$10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 (2)'!$AV$3:$AV$6</c:f>
              <c:numCache>
                <c:formatCode>h:mm</c:formatCode>
                <c:ptCount val="4"/>
                <c:pt idx="0">
                  <c:v>2.6620370370370312E-2</c:v>
                </c:pt>
                <c:pt idx="1">
                  <c:v>2.5595238095238098E-2</c:v>
                </c:pt>
                <c:pt idx="2">
                  <c:v>2.3871527777777776E-2</c:v>
                </c:pt>
                <c:pt idx="3">
                  <c:v>2.4810606060606047E-2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099-7E49-ADCC-72CF4AB98822}"/>
            </c:ext>
          </c:extLst>
        </c:ser>
        <c:ser>
          <c:idx val="1"/>
          <c:order val="1"/>
          <c:tx>
            <c:v>Afternoon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 (2)'!$AN$7:$AN$10</c:f>
              <c:numCache>
                <c:formatCode>h:mm</c:formatCode>
                <c:ptCount val="4"/>
                <c:pt idx="0">
                  <c:v>0.63541666666666663</c:v>
                </c:pt>
                <c:pt idx="1">
                  <c:v>0.67708333333333337</c:v>
                </c:pt>
                <c:pt idx="2">
                  <c:v>0.71875</c:v>
                </c:pt>
                <c:pt idx="3">
                  <c:v>0.76041666666666663</c:v>
                </c:pt>
              </c:numCache>
            </c:numRef>
          </c:xVal>
          <c:yVal>
            <c:numRef>
              <c:f>'Bus Sheet (2)'!$AV$7:$AV$10</c:f>
              <c:numCache>
                <c:formatCode>h:mm</c:formatCode>
                <c:ptCount val="4"/>
                <c:pt idx="0">
                  <c:v>2.416666666666669E-2</c:v>
                </c:pt>
                <c:pt idx="1">
                  <c:v>2.3524305555555541E-2</c:v>
                </c:pt>
                <c:pt idx="2">
                  <c:v>2.6388888888888906E-2</c:v>
                </c:pt>
                <c:pt idx="3">
                  <c:v>2.6388888888888906E-2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5099-7E49-ADCC-72CF4AB988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8154208"/>
        <c:axId val="258156480"/>
      </c:scatterChart>
      <c:valAx>
        <c:axId val="2581542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8156480"/>
        <c:crosses val="autoZero"/>
        <c:crossBetween val="midCat"/>
      </c:valAx>
      <c:valAx>
        <c:axId val="258156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8154208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U1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xVal>
            <c:numRef>
              <c:f>'Bus Emissions v1'!$I$12:$I$22</c:f>
              <c:numCache>
                <c:formatCode>h:mm</c:formatCode>
                <c:ptCount val="11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0.55208333333333337</c:v>
                </c:pt>
                <c:pt idx="5">
                  <c:v>0.59375</c:v>
                </c:pt>
                <c:pt idx="6">
                  <c:v>0.63541666666666663</c:v>
                </c:pt>
                <c:pt idx="7">
                  <c:v>0.67708333333333337</c:v>
                </c:pt>
                <c:pt idx="8">
                  <c:v>0.71875</c:v>
                </c:pt>
                <c:pt idx="9">
                  <c:v>0.76041666666666663</c:v>
                </c:pt>
                <c:pt idx="10">
                  <c:v>0.80208333333333337</c:v>
                </c:pt>
              </c:numCache>
            </c:numRef>
          </c:xVal>
          <c:yVal>
            <c:numRef>
              <c:f>'Bus Emissions v1'!$N$12:$N$22</c:f>
              <c:numCache>
                <c:formatCode>General</c:formatCode>
                <c:ptCount val="11"/>
                <c:pt idx="0">
                  <c:v>0.10682368853753731</c:v>
                </c:pt>
                <c:pt idx="1">
                  <c:v>9.6141319683783574E-2</c:v>
                </c:pt>
                <c:pt idx="2">
                  <c:v>9.2707701123648456E-2</c:v>
                </c:pt>
                <c:pt idx="3">
                  <c:v>9.4996780163738526E-2</c:v>
                </c:pt>
                <c:pt idx="4">
                  <c:v>9.8430398723873658E-2</c:v>
                </c:pt>
                <c:pt idx="5">
                  <c:v>9.8430398723873658E-2</c:v>
                </c:pt>
                <c:pt idx="6">
                  <c:v>9.1563161603603421E-2</c:v>
                </c:pt>
                <c:pt idx="7">
                  <c:v>9.1563161603603421E-2</c:v>
                </c:pt>
                <c:pt idx="8">
                  <c:v>0.10936710969319292</c:v>
                </c:pt>
                <c:pt idx="9">
                  <c:v>0.11445395200450426</c:v>
                </c:pt>
                <c:pt idx="10">
                  <c:v>9.8430398723873658E-2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22E-5D4B-89F1-C1CC24D4E1B5}"/>
            </c:ext>
          </c:extLst>
        </c:ser>
        <c:ser>
          <c:idx val="1"/>
          <c:order val="1"/>
          <c:tx>
            <c:v>U2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xVal>
            <c:numRef>
              <c:f>'Bus Emissions v1'!$I$12:$I$22</c:f>
              <c:numCache>
                <c:formatCode>h:mm</c:formatCode>
                <c:ptCount val="11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0.55208333333333337</c:v>
                </c:pt>
                <c:pt idx="5">
                  <c:v>0.59375</c:v>
                </c:pt>
                <c:pt idx="6">
                  <c:v>0.63541666666666663</c:v>
                </c:pt>
                <c:pt idx="7">
                  <c:v>0.67708333333333337</c:v>
                </c:pt>
                <c:pt idx="8">
                  <c:v>0.71875</c:v>
                </c:pt>
                <c:pt idx="9">
                  <c:v>0.76041666666666663</c:v>
                </c:pt>
                <c:pt idx="10">
                  <c:v>0.80208333333333337</c:v>
                </c:pt>
              </c:numCache>
            </c:numRef>
          </c:xVal>
          <c:yVal>
            <c:numRef>
              <c:f>'Bus Emissions v1'!$V$12:$V$22</c:f>
              <c:numCache>
                <c:formatCode>General</c:formatCode>
                <c:ptCount val="11"/>
                <c:pt idx="0">
                  <c:v>0.11791145752691688</c:v>
                </c:pt>
                <c:pt idx="1">
                  <c:v>0.11035303076237092</c:v>
                </c:pt>
                <c:pt idx="2">
                  <c:v>0.1058179747036434</c:v>
                </c:pt>
                <c:pt idx="3">
                  <c:v>0.11186471611528011</c:v>
                </c:pt>
                <c:pt idx="4">
                  <c:v>0.10884134540946176</c:v>
                </c:pt>
                <c:pt idx="5">
                  <c:v>0.10884134540946176</c:v>
                </c:pt>
                <c:pt idx="6">
                  <c:v>0.10279460399782499</c:v>
                </c:pt>
                <c:pt idx="7">
                  <c:v>0.1012829186449158</c:v>
                </c:pt>
                <c:pt idx="8">
                  <c:v>0.11488808682109851</c:v>
                </c:pt>
                <c:pt idx="9">
                  <c:v>0.11488808682109851</c:v>
                </c:pt>
                <c:pt idx="10">
                  <c:v>0.10884134540946176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22E-5D4B-89F1-C1CC24D4E1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56513136"/>
        <c:axId val="957211968"/>
      </c:scatterChart>
      <c:valAx>
        <c:axId val="956513136"/>
        <c:scaling>
          <c:orientation val="minMax"/>
          <c:min val="0.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7211968"/>
        <c:crosses val="autoZero"/>
        <c:crossBetween val="midCat"/>
      </c:valAx>
      <c:valAx>
        <c:axId val="957211968"/>
        <c:scaling>
          <c:orientation val="minMax"/>
          <c:max val="0.15"/>
          <c:min val="6.0000000000000012E-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6513136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pieChart>
        <c:varyColors val="1"/>
        <c:ser>
          <c:idx val="0"/>
          <c:order val="0"/>
          <c:tx>
            <c:strRef>
              <c:f>'Bus Emissions v1.2'!$B$8</c:f>
              <c:strCache>
                <c:ptCount val="1"/>
                <c:pt idx="0">
                  <c:v>Percentage Use to commute</c:v>
                </c:pt>
              </c:strCache>
            </c:strRef>
          </c:tx>
          <c:spPr>
            <a:ln>
              <a:prstDash val="solid"/>
            </a:ln>
          </c:spPr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1-ADCA-8943-94D9-8CB0ED27DE3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3-ADCA-8943-94D9-8CB0ED27DE3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5-ADCA-8943-94D9-8CB0ED27DE3D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7-ADCA-8943-94D9-8CB0ED27DE3D}"/>
              </c:ext>
            </c:extLst>
          </c:dPt>
          <c:dLbls>
            <c:spPr>
              <a:noFill/>
              <a:ln>
                <a:noFill/>
                <a:prstDash val="solid"/>
              </a:ln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'Bus Emissions v1.2'!$A$9:$A$12</c:f>
              <c:strCache>
                <c:ptCount val="4"/>
                <c:pt idx="0">
                  <c:v>Bus (55.4%)</c:v>
                </c:pt>
                <c:pt idx="1">
                  <c:v>Foot (7.0%)</c:v>
                </c:pt>
                <c:pt idx="2">
                  <c:v>Bike (2.6%)</c:v>
                </c:pt>
                <c:pt idx="3">
                  <c:v>Other (Carbon Producing)(35.0%)</c:v>
                </c:pt>
              </c:strCache>
            </c:strRef>
          </c:cat>
          <c:val>
            <c:numRef>
              <c:f>'Bus Emissions v1.2'!$B$9:$B$12</c:f>
              <c:numCache>
                <c:formatCode>0%</c:formatCode>
                <c:ptCount val="4"/>
                <c:pt idx="0" formatCode="0.00%">
                  <c:v>0.55400000000000005</c:v>
                </c:pt>
                <c:pt idx="1">
                  <c:v>7.0000000000000007E-2</c:v>
                </c:pt>
                <c:pt idx="2" formatCode="0.00%">
                  <c:v>2.5999999999999999E-2</c:v>
                </c:pt>
                <c:pt idx="3" formatCode="0.00%">
                  <c:v>0.34999999999999992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DCA-8943-94D9-8CB0ED27DE3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U1</c:v>
          </c:tx>
          <c:spPr>
            <a:ln w="1905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xVal>
            <c:numRef>
              <c:f>'Google Maps Time'!$A$4:$A$52</c:f>
              <c:numCache>
                <c:formatCode>h:mm</c:formatCode>
                <c:ptCount val="49"/>
                <c:pt idx="0">
                  <c:v>0.33333333333333331</c:v>
                </c:pt>
                <c:pt idx="1">
                  <c:v>0.34375</c:v>
                </c:pt>
                <c:pt idx="2">
                  <c:v>0.35416666666666669</c:v>
                </c:pt>
                <c:pt idx="3">
                  <c:v>0.36458333333333331</c:v>
                </c:pt>
                <c:pt idx="4">
                  <c:v>0.375</c:v>
                </c:pt>
                <c:pt idx="5">
                  <c:v>0.38541666666666669</c:v>
                </c:pt>
                <c:pt idx="6">
                  <c:v>0.39583333333333331</c:v>
                </c:pt>
                <c:pt idx="7">
                  <c:v>0.40625</c:v>
                </c:pt>
                <c:pt idx="8">
                  <c:v>0.41666666666666669</c:v>
                </c:pt>
                <c:pt idx="9">
                  <c:v>0.42708333333333331</c:v>
                </c:pt>
                <c:pt idx="10">
                  <c:v>0.4375</c:v>
                </c:pt>
                <c:pt idx="11">
                  <c:v>0.44791666666666669</c:v>
                </c:pt>
                <c:pt idx="12">
                  <c:v>0.45833333333333331</c:v>
                </c:pt>
                <c:pt idx="13">
                  <c:v>0.46875</c:v>
                </c:pt>
                <c:pt idx="14">
                  <c:v>0.47916666666666669</c:v>
                </c:pt>
                <c:pt idx="15">
                  <c:v>0.48958333333333331</c:v>
                </c:pt>
                <c:pt idx="16">
                  <c:v>0.5</c:v>
                </c:pt>
                <c:pt idx="17">
                  <c:v>0.51041666666666663</c:v>
                </c:pt>
                <c:pt idx="18">
                  <c:v>0.52083333333333337</c:v>
                </c:pt>
                <c:pt idx="19">
                  <c:v>0.53125</c:v>
                </c:pt>
                <c:pt idx="20">
                  <c:v>0.54166666666666663</c:v>
                </c:pt>
                <c:pt idx="21">
                  <c:v>0.55208333333333337</c:v>
                </c:pt>
                <c:pt idx="22">
                  <c:v>0.5625</c:v>
                </c:pt>
                <c:pt idx="23">
                  <c:v>0.57291666666666663</c:v>
                </c:pt>
                <c:pt idx="24">
                  <c:v>0.58333333333333337</c:v>
                </c:pt>
                <c:pt idx="25">
                  <c:v>0.59375</c:v>
                </c:pt>
                <c:pt idx="26">
                  <c:v>0.60416666666666663</c:v>
                </c:pt>
                <c:pt idx="27">
                  <c:v>0.61458333333333337</c:v>
                </c:pt>
                <c:pt idx="28">
                  <c:v>0.625</c:v>
                </c:pt>
                <c:pt idx="29">
                  <c:v>0.63541666666666663</c:v>
                </c:pt>
                <c:pt idx="30">
                  <c:v>0.64583333333333337</c:v>
                </c:pt>
                <c:pt idx="31">
                  <c:v>0.65625</c:v>
                </c:pt>
                <c:pt idx="32">
                  <c:v>0.66666666666666663</c:v>
                </c:pt>
                <c:pt idx="33">
                  <c:v>0.67708333333333337</c:v>
                </c:pt>
                <c:pt idx="34">
                  <c:v>0.6875</c:v>
                </c:pt>
                <c:pt idx="35">
                  <c:v>0.69791666666666663</c:v>
                </c:pt>
                <c:pt idx="36">
                  <c:v>0.70833333333333337</c:v>
                </c:pt>
                <c:pt idx="37">
                  <c:v>0.71875</c:v>
                </c:pt>
                <c:pt idx="38">
                  <c:v>0.72916666666666663</c:v>
                </c:pt>
                <c:pt idx="39">
                  <c:v>0.73958333333333337</c:v>
                </c:pt>
                <c:pt idx="40">
                  <c:v>0.75</c:v>
                </c:pt>
                <c:pt idx="41">
                  <c:v>0.76041666666666663</c:v>
                </c:pt>
                <c:pt idx="42">
                  <c:v>0.77083333333333337</c:v>
                </c:pt>
                <c:pt idx="43">
                  <c:v>0.78125</c:v>
                </c:pt>
                <c:pt idx="44">
                  <c:v>0.79166666666666663</c:v>
                </c:pt>
                <c:pt idx="45">
                  <c:v>0.80208333333333337</c:v>
                </c:pt>
                <c:pt idx="46">
                  <c:v>0.8125</c:v>
                </c:pt>
                <c:pt idx="47">
                  <c:v>0.82291666666666663</c:v>
                </c:pt>
                <c:pt idx="48">
                  <c:v>0.83333333333333337</c:v>
                </c:pt>
              </c:numCache>
            </c:numRef>
          </c:xVal>
          <c:yVal>
            <c:numRef>
              <c:f>'Google Maps Time'!$D$4:$D$52</c:f>
              <c:numCache>
                <c:formatCode>h:mm</c:formatCode>
                <c:ptCount val="49"/>
                <c:pt idx="0">
                  <c:v>3.1944444444444442E-2</c:v>
                </c:pt>
                <c:pt idx="1">
                  <c:v>3.125E-2</c:v>
                </c:pt>
                <c:pt idx="2">
                  <c:v>3.125E-2</c:v>
                </c:pt>
                <c:pt idx="3">
                  <c:v>3.125E-2</c:v>
                </c:pt>
                <c:pt idx="4">
                  <c:v>3.125E-2</c:v>
                </c:pt>
                <c:pt idx="5">
                  <c:v>3.0555555555555558E-2</c:v>
                </c:pt>
                <c:pt idx="6">
                  <c:v>3.0555555555555558E-2</c:v>
                </c:pt>
                <c:pt idx="7">
                  <c:v>3.0555555555555558E-2</c:v>
                </c:pt>
                <c:pt idx="8">
                  <c:v>3.0555555555555551E-2</c:v>
                </c:pt>
                <c:pt idx="9">
                  <c:v>3.0555555555555551E-2</c:v>
                </c:pt>
                <c:pt idx="10">
                  <c:v>2.9861111111111109E-2</c:v>
                </c:pt>
                <c:pt idx="11">
                  <c:v>2.9861111111111109E-2</c:v>
                </c:pt>
                <c:pt idx="12">
                  <c:v>2.916666666666666E-2</c:v>
                </c:pt>
                <c:pt idx="13">
                  <c:v>2.916666666666666E-2</c:v>
                </c:pt>
                <c:pt idx="14">
                  <c:v>2.916666666666666E-2</c:v>
                </c:pt>
                <c:pt idx="15">
                  <c:v>2.916666666666666E-2</c:v>
                </c:pt>
                <c:pt idx="16">
                  <c:v>2.9861111111111109E-2</c:v>
                </c:pt>
                <c:pt idx="17">
                  <c:v>2.9861111111111109E-2</c:v>
                </c:pt>
                <c:pt idx="18">
                  <c:v>2.9861111111111109E-2</c:v>
                </c:pt>
                <c:pt idx="19">
                  <c:v>2.9861111111111109E-2</c:v>
                </c:pt>
                <c:pt idx="20">
                  <c:v>2.9861111111111109E-2</c:v>
                </c:pt>
                <c:pt idx="21">
                  <c:v>2.916666666666666E-2</c:v>
                </c:pt>
                <c:pt idx="22">
                  <c:v>2.916666666666666E-2</c:v>
                </c:pt>
                <c:pt idx="23">
                  <c:v>2.916666666666666E-2</c:v>
                </c:pt>
                <c:pt idx="24">
                  <c:v>2.916666666666666E-2</c:v>
                </c:pt>
                <c:pt idx="25">
                  <c:v>2.916666666666666E-2</c:v>
                </c:pt>
                <c:pt idx="26">
                  <c:v>2.9166666666666671E-2</c:v>
                </c:pt>
                <c:pt idx="27">
                  <c:v>2.9166666666666671E-2</c:v>
                </c:pt>
                <c:pt idx="28">
                  <c:v>2.9166666666666671E-2</c:v>
                </c:pt>
                <c:pt idx="29">
                  <c:v>2.9166666666666671E-2</c:v>
                </c:pt>
                <c:pt idx="30">
                  <c:v>2.9166666666666671E-2</c:v>
                </c:pt>
                <c:pt idx="31">
                  <c:v>3.0555555555555561E-2</c:v>
                </c:pt>
                <c:pt idx="32">
                  <c:v>3.0555555555555561E-2</c:v>
                </c:pt>
                <c:pt idx="33">
                  <c:v>2.9861111111111109E-2</c:v>
                </c:pt>
                <c:pt idx="34">
                  <c:v>2.9861111111111109E-2</c:v>
                </c:pt>
                <c:pt idx="35">
                  <c:v>2.9861111111111109E-2</c:v>
                </c:pt>
                <c:pt idx="36">
                  <c:v>2.9861111111111109E-2</c:v>
                </c:pt>
                <c:pt idx="37">
                  <c:v>3.0555555555555558E-2</c:v>
                </c:pt>
                <c:pt idx="38">
                  <c:v>2.916666666666666E-2</c:v>
                </c:pt>
                <c:pt idx="39">
                  <c:v>2.7777777777777769E-2</c:v>
                </c:pt>
                <c:pt idx="40">
                  <c:v>2.7083333333333327E-2</c:v>
                </c:pt>
                <c:pt idx="41">
                  <c:v>2.6388888888888878E-2</c:v>
                </c:pt>
                <c:pt idx="42">
                  <c:v>2.6388888888888878E-2</c:v>
                </c:pt>
                <c:pt idx="43">
                  <c:v>2.569444444444444E-2</c:v>
                </c:pt>
                <c:pt idx="44">
                  <c:v>2.5000000000000001E-2</c:v>
                </c:pt>
                <c:pt idx="45">
                  <c:v>2.5000000000000001E-2</c:v>
                </c:pt>
                <c:pt idx="46">
                  <c:v>2.5000000000000001E-2</c:v>
                </c:pt>
                <c:pt idx="47">
                  <c:v>2.5000000000000001E-2</c:v>
                </c:pt>
                <c:pt idx="48">
                  <c:v>2.2916666666666669E-2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96A-E945-B87C-6DE6A82F2DD5}"/>
            </c:ext>
          </c:extLst>
        </c:ser>
        <c:ser>
          <c:idx val="1"/>
          <c:order val="1"/>
          <c:tx>
            <c:v>U2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xVal>
            <c:numRef>
              <c:f>'Google Maps Time'!$A$4:$A$52</c:f>
              <c:numCache>
                <c:formatCode>h:mm</c:formatCode>
                <c:ptCount val="49"/>
                <c:pt idx="0">
                  <c:v>0.33333333333333331</c:v>
                </c:pt>
                <c:pt idx="1">
                  <c:v>0.34375</c:v>
                </c:pt>
                <c:pt idx="2">
                  <c:v>0.35416666666666669</c:v>
                </c:pt>
                <c:pt idx="3">
                  <c:v>0.36458333333333331</c:v>
                </c:pt>
                <c:pt idx="4">
                  <c:v>0.375</c:v>
                </c:pt>
                <c:pt idx="5">
                  <c:v>0.38541666666666669</c:v>
                </c:pt>
                <c:pt idx="6">
                  <c:v>0.39583333333333331</c:v>
                </c:pt>
                <c:pt idx="7">
                  <c:v>0.40625</c:v>
                </c:pt>
                <c:pt idx="8">
                  <c:v>0.41666666666666669</c:v>
                </c:pt>
                <c:pt idx="9">
                  <c:v>0.42708333333333331</c:v>
                </c:pt>
                <c:pt idx="10">
                  <c:v>0.4375</c:v>
                </c:pt>
                <c:pt idx="11">
                  <c:v>0.44791666666666669</c:v>
                </c:pt>
                <c:pt idx="12">
                  <c:v>0.45833333333333331</c:v>
                </c:pt>
                <c:pt idx="13">
                  <c:v>0.46875</c:v>
                </c:pt>
                <c:pt idx="14">
                  <c:v>0.47916666666666669</c:v>
                </c:pt>
                <c:pt idx="15">
                  <c:v>0.48958333333333331</c:v>
                </c:pt>
                <c:pt idx="16">
                  <c:v>0.5</c:v>
                </c:pt>
                <c:pt idx="17">
                  <c:v>0.51041666666666663</c:v>
                </c:pt>
                <c:pt idx="18">
                  <c:v>0.52083333333333337</c:v>
                </c:pt>
                <c:pt idx="19">
                  <c:v>0.53125</c:v>
                </c:pt>
                <c:pt idx="20">
                  <c:v>0.54166666666666663</c:v>
                </c:pt>
                <c:pt idx="21">
                  <c:v>0.55208333333333337</c:v>
                </c:pt>
                <c:pt idx="22">
                  <c:v>0.5625</c:v>
                </c:pt>
                <c:pt idx="23">
                  <c:v>0.57291666666666663</c:v>
                </c:pt>
                <c:pt idx="24">
                  <c:v>0.58333333333333337</c:v>
                </c:pt>
                <c:pt idx="25">
                  <c:v>0.59375</c:v>
                </c:pt>
                <c:pt idx="26">
                  <c:v>0.60416666666666663</c:v>
                </c:pt>
                <c:pt idx="27">
                  <c:v>0.61458333333333337</c:v>
                </c:pt>
                <c:pt idx="28">
                  <c:v>0.625</c:v>
                </c:pt>
                <c:pt idx="29">
                  <c:v>0.63541666666666663</c:v>
                </c:pt>
                <c:pt idx="30">
                  <c:v>0.64583333333333337</c:v>
                </c:pt>
                <c:pt idx="31">
                  <c:v>0.65625</c:v>
                </c:pt>
                <c:pt idx="32">
                  <c:v>0.66666666666666663</c:v>
                </c:pt>
                <c:pt idx="33">
                  <c:v>0.67708333333333337</c:v>
                </c:pt>
                <c:pt idx="34">
                  <c:v>0.6875</c:v>
                </c:pt>
                <c:pt idx="35">
                  <c:v>0.69791666666666663</c:v>
                </c:pt>
                <c:pt idx="36">
                  <c:v>0.70833333333333337</c:v>
                </c:pt>
                <c:pt idx="37">
                  <c:v>0.71875</c:v>
                </c:pt>
                <c:pt idx="38">
                  <c:v>0.72916666666666663</c:v>
                </c:pt>
                <c:pt idx="39">
                  <c:v>0.73958333333333337</c:v>
                </c:pt>
                <c:pt idx="40">
                  <c:v>0.75</c:v>
                </c:pt>
                <c:pt idx="41">
                  <c:v>0.76041666666666663</c:v>
                </c:pt>
                <c:pt idx="42">
                  <c:v>0.77083333333333337</c:v>
                </c:pt>
                <c:pt idx="43">
                  <c:v>0.78125</c:v>
                </c:pt>
                <c:pt idx="44">
                  <c:v>0.79166666666666663</c:v>
                </c:pt>
                <c:pt idx="45">
                  <c:v>0.80208333333333337</c:v>
                </c:pt>
                <c:pt idx="46">
                  <c:v>0.8125</c:v>
                </c:pt>
                <c:pt idx="47">
                  <c:v>0.82291666666666663</c:v>
                </c:pt>
                <c:pt idx="48">
                  <c:v>0.83333333333333337</c:v>
                </c:pt>
              </c:numCache>
            </c:numRef>
          </c:xVal>
          <c:yVal>
            <c:numRef>
              <c:f>'Google Maps Time'!$G$4:$G$52</c:f>
              <c:numCache>
                <c:formatCode>h:mm</c:formatCode>
                <c:ptCount val="49"/>
                <c:pt idx="0">
                  <c:v>2.9166666666666667E-2</c:v>
                </c:pt>
                <c:pt idx="1">
                  <c:v>2.8472222222222232E-2</c:v>
                </c:pt>
                <c:pt idx="2">
                  <c:v>2.777777777777778E-2</c:v>
                </c:pt>
                <c:pt idx="3">
                  <c:v>2.777777777777778E-2</c:v>
                </c:pt>
                <c:pt idx="4">
                  <c:v>2.777777777777778E-2</c:v>
                </c:pt>
                <c:pt idx="5">
                  <c:v>2.7083333333333331E-2</c:v>
                </c:pt>
                <c:pt idx="6">
                  <c:v>2.6388888888888892E-2</c:v>
                </c:pt>
                <c:pt idx="7">
                  <c:v>2.6388888888888892E-2</c:v>
                </c:pt>
                <c:pt idx="8">
                  <c:v>2.6388888888888892E-2</c:v>
                </c:pt>
                <c:pt idx="9">
                  <c:v>2.6388888888888892E-2</c:v>
                </c:pt>
                <c:pt idx="10">
                  <c:v>2.6388888888888892E-2</c:v>
                </c:pt>
                <c:pt idx="11">
                  <c:v>2.6388888888888892E-2</c:v>
                </c:pt>
                <c:pt idx="12">
                  <c:v>2.7083333333333341E-2</c:v>
                </c:pt>
                <c:pt idx="13">
                  <c:v>2.7083333333333341E-2</c:v>
                </c:pt>
                <c:pt idx="14">
                  <c:v>2.7083333333333341E-2</c:v>
                </c:pt>
                <c:pt idx="15">
                  <c:v>2.7083333333333341E-2</c:v>
                </c:pt>
                <c:pt idx="16">
                  <c:v>2.7083333333333341E-2</c:v>
                </c:pt>
                <c:pt idx="17">
                  <c:v>2.7083333333333341E-2</c:v>
                </c:pt>
                <c:pt idx="18">
                  <c:v>2.7083333333333341E-2</c:v>
                </c:pt>
                <c:pt idx="19">
                  <c:v>2.7083333333333341E-2</c:v>
                </c:pt>
                <c:pt idx="20">
                  <c:v>2.7083333333333341E-2</c:v>
                </c:pt>
                <c:pt idx="21">
                  <c:v>2.7083333333333341E-2</c:v>
                </c:pt>
                <c:pt idx="22">
                  <c:v>2.7083333333333341E-2</c:v>
                </c:pt>
                <c:pt idx="23">
                  <c:v>2.7083333333333341E-2</c:v>
                </c:pt>
                <c:pt idx="24">
                  <c:v>2.7777777777777783E-2</c:v>
                </c:pt>
                <c:pt idx="25">
                  <c:v>2.7777777777777783E-2</c:v>
                </c:pt>
                <c:pt idx="26">
                  <c:v>2.7777777777777783E-2</c:v>
                </c:pt>
                <c:pt idx="27">
                  <c:v>2.7777777777777783E-2</c:v>
                </c:pt>
                <c:pt idx="28">
                  <c:v>2.7777777777777783E-2</c:v>
                </c:pt>
                <c:pt idx="29">
                  <c:v>2.7777777777777783E-2</c:v>
                </c:pt>
                <c:pt idx="30">
                  <c:v>2.7777777777777783E-2</c:v>
                </c:pt>
                <c:pt idx="31">
                  <c:v>2.7777777777777783E-2</c:v>
                </c:pt>
                <c:pt idx="32">
                  <c:v>2.7777777777777783E-2</c:v>
                </c:pt>
                <c:pt idx="33">
                  <c:v>2.7777777777777783E-2</c:v>
                </c:pt>
                <c:pt idx="34">
                  <c:v>2.7777777777777783E-2</c:v>
                </c:pt>
                <c:pt idx="35">
                  <c:v>2.7777777777777783E-2</c:v>
                </c:pt>
                <c:pt idx="36">
                  <c:v>2.7777777777777783E-2</c:v>
                </c:pt>
                <c:pt idx="37">
                  <c:v>2.7083333333333331E-2</c:v>
                </c:pt>
                <c:pt idx="38">
                  <c:v>2.7083333333333331E-2</c:v>
                </c:pt>
                <c:pt idx="39">
                  <c:v>2.7083333333333331E-2</c:v>
                </c:pt>
                <c:pt idx="40">
                  <c:v>2.569444444444445E-2</c:v>
                </c:pt>
                <c:pt idx="41">
                  <c:v>2.569444444444445E-2</c:v>
                </c:pt>
                <c:pt idx="42">
                  <c:v>2.5000000000000001E-2</c:v>
                </c:pt>
                <c:pt idx="43">
                  <c:v>2.5000000000000001E-2</c:v>
                </c:pt>
                <c:pt idx="44">
                  <c:v>2.4305555555555549E-2</c:v>
                </c:pt>
                <c:pt idx="45">
                  <c:v>2.4305555555555549E-2</c:v>
                </c:pt>
                <c:pt idx="46">
                  <c:v>3.2638888888888884E-2</c:v>
                </c:pt>
                <c:pt idx="47">
                  <c:v>3.1944444444444442E-2</c:v>
                </c:pt>
                <c:pt idx="48">
                  <c:v>3.0555555555555548E-2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96A-E945-B87C-6DE6A82F2D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58214512"/>
        <c:axId val="958173200"/>
      </c:scatterChart>
      <c:valAx>
        <c:axId val="9582145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8173200"/>
        <c:crosses val="autoZero"/>
        <c:crossBetween val="midCat"/>
      </c:valAx>
      <c:valAx>
        <c:axId val="958173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8214512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endParaRPr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'Bus Emissions v2'!$B$9</c:f>
              <c:strCache>
                <c:ptCount val="1"/>
                <c:pt idx="0">
                  <c:v>U1</c:v>
                </c:pt>
              </c:strCache>
            </c:strRef>
          </c:tx>
          <c:spPr>
            <a:ln w="28575" cap="rnd">
              <a:solidFill>
                <a:schemeClr val="accent1"/>
              </a:solidFill>
              <a:prstDash val="solid"/>
              <a:round/>
            </a:ln>
          </c:spPr>
          <c:marker>
            <c:symbol val="none"/>
          </c:marker>
          <c:cat>
            <c:numRef>
              <c:f>'Bus Emissions v2'!$A$10:$A$17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cat>
          <c:val>
            <c:numRef>
              <c:f>'Bus Emissions v2'!$B$10:$B$17</c:f>
              <c:numCache>
                <c:formatCode>General</c:formatCode>
                <c:ptCount val="8"/>
                <c:pt idx="0">
                  <c:v>1.0943333333333336</c:v>
                </c:pt>
                <c:pt idx="1">
                  <c:v>0.98490000000000011</c:v>
                </c:pt>
                <c:pt idx="2">
                  <c:v>0.94972500000000015</c:v>
                </c:pt>
                <c:pt idx="3">
                  <c:v>0.97317500000000001</c:v>
                </c:pt>
                <c:pt idx="4">
                  <c:v>0.93800000000000017</c:v>
                </c:pt>
                <c:pt idx="5">
                  <c:v>0.93800000000000017</c:v>
                </c:pt>
                <c:pt idx="6">
                  <c:v>1.1203888888888889</c:v>
                </c:pt>
                <c:pt idx="7">
                  <c:v>1.1725000000000001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F0-0B4B-88C9-75DDE2CAC630}"/>
            </c:ext>
          </c:extLst>
        </c:ser>
        <c:ser>
          <c:idx val="1"/>
          <c:order val="1"/>
          <c:tx>
            <c:strRef>
              <c:f>'Bus Emissions v2'!$C$9</c:f>
              <c:strCache>
                <c:ptCount val="1"/>
                <c:pt idx="0">
                  <c:v>U2</c:v>
                </c:pt>
              </c:strCache>
            </c:strRef>
          </c:tx>
          <c:spPr>
            <a:ln w="28575" cap="rnd">
              <a:solidFill>
                <a:schemeClr val="accent2"/>
              </a:solidFill>
              <a:prstDash val="solid"/>
              <a:round/>
            </a:ln>
          </c:spPr>
          <c:marker>
            <c:symbol val="none"/>
          </c:marker>
          <c:cat>
            <c:numRef>
              <c:f>'Bus Emissions v2'!$A$10:$A$17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cat>
          <c:val>
            <c:numRef>
              <c:f>'Bus Emissions v2'!$C$10:$C$17</c:f>
              <c:numCache>
                <c:formatCode>General</c:formatCode>
                <c:ptCount val="8"/>
                <c:pt idx="0">
                  <c:v>1.0161666666666667</c:v>
                </c:pt>
                <c:pt idx="1">
                  <c:v>0.95102777777777781</c:v>
                </c:pt>
                <c:pt idx="2">
                  <c:v>0.91194444444444478</c:v>
                </c:pt>
                <c:pt idx="3">
                  <c:v>0.96405555555555555</c:v>
                </c:pt>
                <c:pt idx="4">
                  <c:v>0.88588888888888895</c:v>
                </c:pt>
                <c:pt idx="5">
                  <c:v>0.8728611111111112</c:v>
                </c:pt>
                <c:pt idx="6">
                  <c:v>0.99011111111111116</c:v>
                </c:pt>
                <c:pt idx="7">
                  <c:v>0.99011111111111116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F0-0B4B-88C9-75DDE2CAC6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67811952"/>
        <c:axId val="867755472"/>
      </c:lineChart>
      <c:catAx>
        <c:axId val="867811952"/>
        <c:scaling>
          <c:orientation val="minMax"/>
        </c:scaling>
        <c:delete val="0"/>
        <c:axPos val="b"/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7755472"/>
        <c:crosses val="autoZero"/>
        <c:auto val="1"/>
        <c:lblAlgn val="ctr"/>
        <c:lblOffset val="100"/>
        <c:noMultiLvlLbl val="0"/>
      </c:catAx>
      <c:valAx>
        <c:axId val="867755472"/>
        <c:scaling>
          <c:orientation val="minMax"/>
          <c:min val="0.8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7811952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Students</a:t>
            </a:r>
            <a:r>
              <a:rPr lang="en-GB" baseline="0"/>
              <a:t> by Faculty</a:t>
            </a:r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pieChart>
        <c:varyColors val="1"/>
        <c:ser>
          <c:idx val="0"/>
          <c:order val="0"/>
          <c:tx>
            <c:strRef>
              <c:f>Demographic!$J$1</c:f>
              <c:strCache>
                <c:ptCount val="1"/>
                <c:pt idx="0">
                  <c:v>Number</c:v>
                </c:pt>
              </c:strCache>
            </c:strRef>
          </c:tx>
          <c:spPr>
            <a:ln>
              <a:prstDash val="solid"/>
            </a:ln>
          </c:spPr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1-AB47-5743-B755-8AEB699AF42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3-AB47-5743-B755-8AEB699AF42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5-AB47-5743-B755-8AEB699AF42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7-AB47-5743-B755-8AEB699AF42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9-AB47-5743-B755-8AEB699AF427}"/>
              </c:ext>
            </c:extLst>
          </c:dPt>
          <c:cat>
            <c:strRef>
              <c:f>Demographic!$I$2:$I$6</c:f>
              <c:strCache>
                <c:ptCount val="5"/>
                <c:pt idx="0">
                  <c:v>Engineering &amp; Design</c:v>
                </c:pt>
                <c:pt idx="1">
                  <c:v>Humanities &amp; Social Sciences</c:v>
                </c:pt>
                <c:pt idx="2">
                  <c:v>School of Management</c:v>
                </c:pt>
                <c:pt idx="3">
                  <c:v>Science</c:v>
                </c:pt>
                <c:pt idx="4">
                  <c:v>Cross Faculty</c:v>
                </c:pt>
              </c:strCache>
            </c:strRef>
          </c:cat>
          <c:val>
            <c:numRef>
              <c:f>Demographic!$J$2:$J$6</c:f>
              <c:numCache>
                <c:formatCode>General</c:formatCode>
                <c:ptCount val="5"/>
                <c:pt idx="0">
                  <c:v>3806</c:v>
                </c:pt>
                <c:pt idx="1">
                  <c:v>6670</c:v>
                </c:pt>
                <c:pt idx="2">
                  <c:v>3029</c:v>
                </c:pt>
                <c:pt idx="3">
                  <c:v>6033</c:v>
                </c:pt>
                <c:pt idx="4">
                  <c:v>388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AB47-5743-B755-8AEB699AF4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Students</a:t>
            </a:r>
            <a:r>
              <a:rPr lang="en-GB" baseline="0"/>
              <a:t> by Faculty</a:t>
            </a:r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pieChart>
        <c:varyColors val="1"/>
        <c:ser>
          <c:idx val="0"/>
          <c:order val="0"/>
          <c:tx>
            <c:strRef>
              <c:f>'Demographic (2)'!$J$1</c:f>
              <c:strCache>
                <c:ptCount val="1"/>
                <c:pt idx="0">
                  <c:v>Number</c:v>
                </c:pt>
              </c:strCache>
            </c:strRef>
          </c:tx>
          <c:spPr>
            <a:ln>
              <a:prstDash val="solid"/>
            </a:ln>
          </c:spPr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1-83CA-2340-87F8-AC104E23F0A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3-83CA-2340-87F8-AC104E23F0A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5-83CA-2340-87F8-AC104E23F0A1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7-83CA-2340-87F8-AC104E23F0A1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9-83CA-2340-87F8-AC104E23F0A1}"/>
              </c:ext>
            </c:extLst>
          </c:dPt>
          <c:cat>
            <c:strRef>
              <c:f>'Demographic (2)'!$I$2:$I$6</c:f>
              <c:strCache>
                <c:ptCount val="5"/>
                <c:pt idx="0">
                  <c:v>Engineering &amp; Design</c:v>
                </c:pt>
                <c:pt idx="1">
                  <c:v>Humanities &amp; Social Sciences</c:v>
                </c:pt>
                <c:pt idx="2">
                  <c:v>School of Management</c:v>
                </c:pt>
                <c:pt idx="3">
                  <c:v>Science</c:v>
                </c:pt>
                <c:pt idx="4">
                  <c:v>Cross Faculty</c:v>
                </c:pt>
              </c:strCache>
            </c:strRef>
          </c:cat>
          <c:val>
            <c:numRef>
              <c:f>'Demographic (2)'!$J$2:$J$6</c:f>
              <c:numCache>
                <c:formatCode>General</c:formatCode>
                <c:ptCount val="5"/>
                <c:pt idx="0">
                  <c:v>3806</c:v>
                </c:pt>
                <c:pt idx="1">
                  <c:v>6670</c:v>
                </c:pt>
                <c:pt idx="2">
                  <c:v>3029</c:v>
                </c:pt>
                <c:pt idx="3">
                  <c:v>6033</c:v>
                </c:pt>
                <c:pt idx="4">
                  <c:v>388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83CA-2340-87F8-AC104E23F0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U2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Morning</c:v>
          </c:tx>
          <c:spPr>
            <a:ln w="1905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Sheet'!$AD$2:$AD$79</c:f>
              <c:numCache>
                <c:formatCode>h:mm</c:formatCode>
                <c:ptCount val="78"/>
                <c:pt idx="0">
                  <c:v>0.37847222222222221</c:v>
                </c:pt>
                <c:pt idx="1">
                  <c:v>0.38055555555555548</c:v>
                </c:pt>
                <c:pt idx="2">
                  <c:v>0.38472222222222219</c:v>
                </c:pt>
                <c:pt idx="3">
                  <c:v>0.38750000000000001</c:v>
                </c:pt>
                <c:pt idx="4">
                  <c:v>0.3888888888888889</c:v>
                </c:pt>
                <c:pt idx="5">
                  <c:v>0.38958333333333328</c:v>
                </c:pt>
                <c:pt idx="6">
                  <c:v>0.39583333333333331</c:v>
                </c:pt>
                <c:pt idx="7">
                  <c:v>0.4</c:v>
                </c:pt>
                <c:pt idx="8">
                  <c:v>0.40416666666666667</c:v>
                </c:pt>
                <c:pt idx="9">
                  <c:v>0.40763888888888888</c:v>
                </c:pt>
                <c:pt idx="10">
                  <c:v>0.40833333333333333</c:v>
                </c:pt>
                <c:pt idx="11">
                  <c:v>0.41249999999999998</c:v>
                </c:pt>
                <c:pt idx="12">
                  <c:v>0.41458333333333341</c:v>
                </c:pt>
                <c:pt idx="13">
                  <c:v>0.41666666666666669</c:v>
                </c:pt>
                <c:pt idx="14">
                  <c:v>0.41875000000000001</c:v>
                </c:pt>
                <c:pt idx="15">
                  <c:v>0.42152777777777778</c:v>
                </c:pt>
                <c:pt idx="16">
                  <c:v>0.42222222222222222</c:v>
                </c:pt>
                <c:pt idx="17">
                  <c:v>0.4284722222222222</c:v>
                </c:pt>
                <c:pt idx="18">
                  <c:v>0.43402777777777779</c:v>
                </c:pt>
                <c:pt idx="19">
                  <c:v>0.43888888888888888</c:v>
                </c:pt>
                <c:pt idx="20">
                  <c:v>0.44444444444444442</c:v>
                </c:pt>
                <c:pt idx="21">
                  <c:v>0.44722222222222219</c:v>
                </c:pt>
                <c:pt idx="22">
                  <c:v>0.45</c:v>
                </c:pt>
                <c:pt idx="23">
                  <c:v>0.45763888888888887</c:v>
                </c:pt>
                <c:pt idx="24">
                  <c:v>0.46180555555555558</c:v>
                </c:pt>
                <c:pt idx="25">
                  <c:v>0.46875</c:v>
                </c:pt>
                <c:pt idx="26">
                  <c:v>0.47361111111111109</c:v>
                </c:pt>
                <c:pt idx="27">
                  <c:v>0.4777777777777778</c:v>
                </c:pt>
                <c:pt idx="28">
                  <c:v>0.48402777777777778</c:v>
                </c:pt>
                <c:pt idx="29">
                  <c:v>0.48472222222222222</c:v>
                </c:pt>
                <c:pt idx="30">
                  <c:v>0.48958333333333331</c:v>
                </c:pt>
                <c:pt idx="31">
                  <c:v>0.49513888888888891</c:v>
                </c:pt>
                <c:pt idx="32">
                  <c:v>0.50138888888888888</c:v>
                </c:pt>
                <c:pt idx="33">
                  <c:v>0.50347222222222221</c:v>
                </c:pt>
                <c:pt idx="34">
                  <c:v>0.50972222222222219</c:v>
                </c:pt>
                <c:pt idx="35">
                  <c:v>0.50972222222222219</c:v>
                </c:pt>
                <c:pt idx="36">
                  <c:v>0.61458333333333337</c:v>
                </c:pt>
                <c:pt idx="37">
                  <c:v>0.61736111111111114</c:v>
                </c:pt>
                <c:pt idx="38">
                  <c:v>0.62222222222222223</c:v>
                </c:pt>
                <c:pt idx="39">
                  <c:v>0.62777777777777777</c:v>
                </c:pt>
                <c:pt idx="40">
                  <c:v>0.63124999999999998</c:v>
                </c:pt>
                <c:pt idx="41">
                  <c:v>0.63611111111111107</c:v>
                </c:pt>
                <c:pt idx="42">
                  <c:v>0.6430555555555556</c:v>
                </c:pt>
                <c:pt idx="43">
                  <c:v>0.65</c:v>
                </c:pt>
                <c:pt idx="44">
                  <c:v>0.65138888888888891</c:v>
                </c:pt>
                <c:pt idx="45">
                  <c:v>0.65555555555555556</c:v>
                </c:pt>
                <c:pt idx="46">
                  <c:v>0.66249999999999998</c:v>
                </c:pt>
                <c:pt idx="47">
                  <c:v>0.66527777777777775</c:v>
                </c:pt>
                <c:pt idx="48">
                  <c:v>0.66874999999999996</c:v>
                </c:pt>
                <c:pt idx="49">
                  <c:v>0.67708333333333337</c:v>
                </c:pt>
                <c:pt idx="50">
                  <c:v>0.68333333333333335</c:v>
                </c:pt>
                <c:pt idx="51">
                  <c:v>0.69097222222222221</c:v>
                </c:pt>
                <c:pt idx="52">
                  <c:v>0.69166666666666665</c:v>
                </c:pt>
                <c:pt idx="53">
                  <c:v>0.70416666666666672</c:v>
                </c:pt>
                <c:pt idx="54">
                  <c:v>0.70416666666666672</c:v>
                </c:pt>
                <c:pt idx="55">
                  <c:v>0.70763888888888893</c:v>
                </c:pt>
                <c:pt idx="56">
                  <c:v>0.71388888888888891</c:v>
                </c:pt>
                <c:pt idx="57">
                  <c:v>0.72361111111111109</c:v>
                </c:pt>
                <c:pt idx="58">
                  <c:v>0.72916666666666663</c:v>
                </c:pt>
                <c:pt idx="59">
                  <c:v>0.73472222222222228</c:v>
                </c:pt>
                <c:pt idx="60">
                  <c:v>0.73472222222222228</c:v>
                </c:pt>
                <c:pt idx="61">
                  <c:v>0.7416666666666667</c:v>
                </c:pt>
                <c:pt idx="62">
                  <c:v>0.74930555555555556</c:v>
                </c:pt>
                <c:pt idx="63">
                  <c:v>0.75347222222222221</c:v>
                </c:pt>
                <c:pt idx="64">
                  <c:v>0.75902777777777775</c:v>
                </c:pt>
              </c:numCache>
            </c:numRef>
          </c:xVal>
          <c:yVal>
            <c:numRef>
              <c:f>'Bus Sheet'!$AE$2:$AE$37</c:f>
              <c:numCache>
                <c:formatCode>h:mm</c:formatCode>
                <c:ptCount val="36"/>
                <c:pt idx="0">
                  <c:v>2.7083333333333293E-2</c:v>
                </c:pt>
                <c:pt idx="1">
                  <c:v>2.5694444444444353E-2</c:v>
                </c:pt>
                <c:pt idx="2">
                  <c:v>2.7083333333333293E-2</c:v>
                </c:pt>
                <c:pt idx="3">
                  <c:v>2.5000000000000022E-2</c:v>
                </c:pt>
                <c:pt idx="4">
                  <c:v>2.2916666666666696E-2</c:v>
                </c:pt>
                <c:pt idx="5">
                  <c:v>2.8472222222222177E-2</c:v>
                </c:pt>
                <c:pt idx="6">
                  <c:v>2.8472222222222232E-2</c:v>
                </c:pt>
                <c:pt idx="7">
                  <c:v>2.5000000000000022E-2</c:v>
                </c:pt>
                <c:pt idx="8">
                  <c:v>2.430555555555558E-2</c:v>
                </c:pt>
                <c:pt idx="9">
                  <c:v>2.6388888888888906E-2</c:v>
                </c:pt>
                <c:pt idx="10">
                  <c:v>2.5694444444444409E-2</c:v>
                </c:pt>
                <c:pt idx="11">
                  <c:v>2.7083333333333293E-2</c:v>
                </c:pt>
                <c:pt idx="12">
                  <c:v>2.7083333333333404E-2</c:v>
                </c:pt>
                <c:pt idx="13">
                  <c:v>2.3611111111111194E-2</c:v>
                </c:pt>
                <c:pt idx="14">
                  <c:v>2.7083333333333293E-2</c:v>
                </c:pt>
                <c:pt idx="15">
                  <c:v>2.4999999999999967E-2</c:v>
                </c:pt>
                <c:pt idx="16">
                  <c:v>2.2222222222222199E-2</c:v>
                </c:pt>
                <c:pt idx="17">
                  <c:v>2.3611111111111083E-2</c:v>
                </c:pt>
                <c:pt idx="18">
                  <c:v>2.4999999999999967E-2</c:v>
                </c:pt>
                <c:pt idx="19">
                  <c:v>2.4999999999999967E-2</c:v>
                </c:pt>
                <c:pt idx="20">
                  <c:v>2.5694444444444409E-2</c:v>
                </c:pt>
                <c:pt idx="21">
                  <c:v>2.2916666666666696E-2</c:v>
                </c:pt>
                <c:pt idx="22">
                  <c:v>2.0833333333333426E-2</c:v>
                </c:pt>
                <c:pt idx="23">
                  <c:v>2.4999999999999967E-2</c:v>
                </c:pt>
                <c:pt idx="24">
                  <c:v>2.2916666666666696E-2</c:v>
                </c:pt>
                <c:pt idx="25">
                  <c:v>2.569444444444452E-2</c:v>
                </c:pt>
                <c:pt idx="26">
                  <c:v>2.5694444444444409E-2</c:v>
                </c:pt>
                <c:pt idx="27">
                  <c:v>2.5000000000000022E-2</c:v>
                </c:pt>
                <c:pt idx="28">
                  <c:v>2.6388888888888906E-2</c:v>
                </c:pt>
                <c:pt idx="29">
                  <c:v>2.1527777777777701E-2</c:v>
                </c:pt>
                <c:pt idx="30">
                  <c:v>2.2222222222222199E-2</c:v>
                </c:pt>
                <c:pt idx="31">
                  <c:v>2.2222222222222199E-2</c:v>
                </c:pt>
                <c:pt idx="32">
                  <c:v>2.7083333333333404E-2</c:v>
                </c:pt>
                <c:pt idx="33">
                  <c:v>2.6388888888888795E-2</c:v>
                </c:pt>
                <c:pt idx="34">
                  <c:v>2.7777777777777679E-2</c:v>
                </c:pt>
                <c:pt idx="35">
                  <c:v>2.2916666666666696E-2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C46-E745-9C88-74CA80AFDE37}"/>
            </c:ext>
          </c:extLst>
        </c:ser>
        <c:ser>
          <c:idx val="1"/>
          <c:order val="1"/>
          <c:tx>
            <c:v>Afternoon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Sheet'!$AD$38:$AD$66</c:f>
              <c:numCache>
                <c:formatCode>h:mm</c:formatCode>
                <c:ptCount val="29"/>
                <c:pt idx="0">
                  <c:v>0.61458333333333337</c:v>
                </c:pt>
                <c:pt idx="1">
                  <c:v>0.61736111111111114</c:v>
                </c:pt>
                <c:pt idx="2">
                  <c:v>0.62222222222222223</c:v>
                </c:pt>
                <c:pt idx="3">
                  <c:v>0.62777777777777777</c:v>
                </c:pt>
                <c:pt idx="4">
                  <c:v>0.63124999999999998</c:v>
                </c:pt>
                <c:pt idx="5">
                  <c:v>0.63611111111111107</c:v>
                </c:pt>
                <c:pt idx="6">
                  <c:v>0.6430555555555556</c:v>
                </c:pt>
                <c:pt idx="7">
                  <c:v>0.65</c:v>
                </c:pt>
                <c:pt idx="8">
                  <c:v>0.65138888888888891</c:v>
                </c:pt>
                <c:pt idx="9">
                  <c:v>0.65555555555555556</c:v>
                </c:pt>
                <c:pt idx="10">
                  <c:v>0.66249999999999998</c:v>
                </c:pt>
                <c:pt idx="11">
                  <c:v>0.66527777777777775</c:v>
                </c:pt>
                <c:pt idx="12">
                  <c:v>0.66874999999999996</c:v>
                </c:pt>
                <c:pt idx="13">
                  <c:v>0.67708333333333337</c:v>
                </c:pt>
                <c:pt idx="14">
                  <c:v>0.68333333333333335</c:v>
                </c:pt>
                <c:pt idx="15">
                  <c:v>0.69097222222222221</c:v>
                </c:pt>
                <c:pt idx="16">
                  <c:v>0.69166666666666665</c:v>
                </c:pt>
                <c:pt idx="17">
                  <c:v>0.70416666666666672</c:v>
                </c:pt>
                <c:pt idx="18">
                  <c:v>0.70416666666666672</c:v>
                </c:pt>
                <c:pt idx="19">
                  <c:v>0.70763888888888893</c:v>
                </c:pt>
                <c:pt idx="20">
                  <c:v>0.71388888888888891</c:v>
                </c:pt>
                <c:pt idx="21">
                  <c:v>0.72361111111111109</c:v>
                </c:pt>
                <c:pt idx="22">
                  <c:v>0.72916666666666663</c:v>
                </c:pt>
                <c:pt idx="23">
                  <c:v>0.73472222222222228</c:v>
                </c:pt>
                <c:pt idx="24">
                  <c:v>0.73472222222222228</c:v>
                </c:pt>
                <c:pt idx="25">
                  <c:v>0.7416666666666667</c:v>
                </c:pt>
                <c:pt idx="26">
                  <c:v>0.74930555555555556</c:v>
                </c:pt>
                <c:pt idx="27">
                  <c:v>0.75347222222222221</c:v>
                </c:pt>
                <c:pt idx="28">
                  <c:v>0.75902777777777775</c:v>
                </c:pt>
              </c:numCache>
            </c:numRef>
          </c:xVal>
          <c:yVal>
            <c:numRef>
              <c:f>'Bus Sheet'!$AE$38:$AE$66</c:f>
              <c:numCache>
                <c:formatCode>h:mm</c:formatCode>
                <c:ptCount val="29"/>
                <c:pt idx="0">
                  <c:v>2.6388888888888906E-2</c:v>
                </c:pt>
                <c:pt idx="1">
                  <c:v>2.2916666666666696E-2</c:v>
                </c:pt>
                <c:pt idx="2">
                  <c:v>2.3611111111111138E-2</c:v>
                </c:pt>
                <c:pt idx="3">
                  <c:v>2.5694444444444464E-2</c:v>
                </c:pt>
                <c:pt idx="4">
                  <c:v>2.2222222222222254E-2</c:v>
                </c:pt>
                <c:pt idx="5">
                  <c:v>2.2916666666666585E-2</c:v>
                </c:pt>
                <c:pt idx="6">
                  <c:v>2.5000000000000022E-2</c:v>
                </c:pt>
                <c:pt idx="7">
                  <c:v>2.6388888888888906E-2</c:v>
                </c:pt>
                <c:pt idx="8">
                  <c:v>2.3611111111111138E-2</c:v>
                </c:pt>
                <c:pt idx="9">
                  <c:v>2.2916666666666696E-2</c:v>
                </c:pt>
                <c:pt idx="10">
                  <c:v>2.430555555555558E-2</c:v>
                </c:pt>
                <c:pt idx="11">
                  <c:v>2.2222222222222143E-2</c:v>
                </c:pt>
                <c:pt idx="12">
                  <c:v>2.0833333333333259E-2</c:v>
                </c:pt>
                <c:pt idx="13">
                  <c:v>2.430555555555558E-2</c:v>
                </c:pt>
                <c:pt idx="14">
                  <c:v>2.430555555555558E-2</c:v>
                </c:pt>
                <c:pt idx="15">
                  <c:v>2.6388888888888906E-2</c:v>
                </c:pt>
                <c:pt idx="16">
                  <c:v>2.430555555555558E-2</c:v>
                </c:pt>
                <c:pt idx="17">
                  <c:v>3.125E-2</c:v>
                </c:pt>
                <c:pt idx="18">
                  <c:v>2.7083333333333348E-2</c:v>
                </c:pt>
                <c:pt idx="19">
                  <c:v>2.6388888888888906E-2</c:v>
                </c:pt>
                <c:pt idx="20">
                  <c:v>2.7083333333333348E-2</c:v>
                </c:pt>
                <c:pt idx="21">
                  <c:v>2.6388888888888906E-2</c:v>
                </c:pt>
                <c:pt idx="22">
                  <c:v>2.8472222222222232E-2</c:v>
                </c:pt>
                <c:pt idx="23">
                  <c:v>2.7083333333333348E-2</c:v>
                </c:pt>
                <c:pt idx="24">
                  <c:v>2.3611111111111138E-2</c:v>
                </c:pt>
                <c:pt idx="25">
                  <c:v>2.5694444444444464E-2</c:v>
                </c:pt>
                <c:pt idx="26">
                  <c:v>2.7083333333333348E-2</c:v>
                </c:pt>
                <c:pt idx="27">
                  <c:v>2.6388888888888906E-2</c:v>
                </c:pt>
                <c:pt idx="28">
                  <c:v>2.6388888888888906E-2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C46-E745-9C88-74CA80AFDE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176224"/>
        <c:axId val="1683179296"/>
      </c:scatterChart>
      <c:valAx>
        <c:axId val="487176224"/>
        <c:scaling>
          <c:orientation val="minMax"/>
          <c:min val="0.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3179296"/>
        <c:crosses val="autoZero"/>
        <c:crossBetween val="midCat"/>
      </c:valAx>
      <c:valAx>
        <c:axId val="1683179296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7176224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'Demographic (3)'!$K$2</c:f>
              <c:strCache>
                <c:ptCount val="1"/>
                <c:pt idx="0">
                  <c:v>Percentage</c:v>
                </c:pt>
              </c:strCache>
            </c:strRef>
          </c:tx>
          <c:spPr>
            <a:ln>
              <a:prstDash val="solid"/>
            </a:ln>
          </c:spPr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1-E70B-7941-B536-7199BB41248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3-E70B-7941-B536-7199BB41248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5-E70B-7941-B536-7199BB41248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7-E70B-7941-B536-7199BB41248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9-E70B-7941-B536-7199BB412485}"/>
              </c:ext>
            </c:extLst>
          </c:dPt>
          <c:cat>
            <c:strRef>
              <c:f>'Demographic (3)'!$I$3:$I$6</c:f>
              <c:strCache>
                <c:ptCount val="4"/>
                <c:pt idx="0">
                  <c:v>Humanities &amp; Social Sciences (34%)</c:v>
                </c:pt>
                <c:pt idx="1">
                  <c:v>Science (30%)</c:v>
                </c:pt>
                <c:pt idx="2">
                  <c:v>Engineering &amp; Design (20%)</c:v>
                </c:pt>
                <c:pt idx="3">
                  <c:v>School of Management (16%)</c:v>
                </c:pt>
              </c:strCache>
            </c:strRef>
          </c:cat>
          <c:val>
            <c:numRef>
              <c:f>'Demographic (3)'!$K$3:$K$6</c:f>
              <c:numCache>
                <c:formatCode>General</c:formatCode>
                <c:ptCount val="4"/>
                <c:pt idx="0">
                  <c:v>34</c:v>
                </c:pt>
                <c:pt idx="1">
                  <c:v>30</c:v>
                </c:pt>
                <c:pt idx="2">
                  <c:v>20</c:v>
                </c:pt>
                <c:pt idx="3">
                  <c:v>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E70B-7941-B536-7199BB4124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U1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Morning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Sheet'!$Q$2:$Q$85</c:f>
              <c:numCache>
                <c:formatCode>h:mm</c:formatCode>
                <c:ptCount val="84"/>
                <c:pt idx="0">
                  <c:v>0.35972222222222222</c:v>
                </c:pt>
                <c:pt idx="1">
                  <c:v>0.36875000000000002</c:v>
                </c:pt>
                <c:pt idx="2">
                  <c:v>0.37777777777777782</c:v>
                </c:pt>
                <c:pt idx="3">
                  <c:v>0.38124999999999998</c:v>
                </c:pt>
                <c:pt idx="4">
                  <c:v>0.38263888888888892</c:v>
                </c:pt>
                <c:pt idx="5">
                  <c:v>0.38611111111111113</c:v>
                </c:pt>
                <c:pt idx="6">
                  <c:v>0.39027777777777778</c:v>
                </c:pt>
                <c:pt idx="7">
                  <c:v>0.3923611111111111</c:v>
                </c:pt>
                <c:pt idx="8">
                  <c:v>0.39583333333333331</c:v>
                </c:pt>
                <c:pt idx="9">
                  <c:v>0.39861111111111108</c:v>
                </c:pt>
                <c:pt idx="10">
                  <c:v>0.40208333333333329</c:v>
                </c:pt>
                <c:pt idx="11">
                  <c:v>0.40625</c:v>
                </c:pt>
                <c:pt idx="12">
                  <c:v>0.40763888888888888</c:v>
                </c:pt>
                <c:pt idx="13">
                  <c:v>0.41388888888888892</c:v>
                </c:pt>
                <c:pt idx="14">
                  <c:v>0.41666666666666669</c:v>
                </c:pt>
                <c:pt idx="15">
                  <c:v>0.41875000000000001</c:v>
                </c:pt>
                <c:pt idx="16">
                  <c:v>0.4284722222222222</c:v>
                </c:pt>
                <c:pt idx="17">
                  <c:v>0.42986111111111108</c:v>
                </c:pt>
                <c:pt idx="18">
                  <c:v>0.43333333333333329</c:v>
                </c:pt>
                <c:pt idx="19">
                  <c:v>0.43402777777777779</c:v>
                </c:pt>
                <c:pt idx="20">
                  <c:v>0.43611111111111112</c:v>
                </c:pt>
                <c:pt idx="21">
                  <c:v>0.43888888888888888</c:v>
                </c:pt>
                <c:pt idx="22">
                  <c:v>0.44097222222222221</c:v>
                </c:pt>
                <c:pt idx="23">
                  <c:v>0.44513888888888892</c:v>
                </c:pt>
                <c:pt idx="24">
                  <c:v>0.4513888888888889</c:v>
                </c:pt>
                <c:pt idx="25">
                  <c:v>0.45624999999999999</c:v>
                </c:pt>
                <c:pt idx="26">
                  <c:v>0.45694444444444438</c:v>
                </c:pt>
                <c:pt idx="27">
                  <c:v>0.4597222222222222</c:v>
                </c:pt>
                <c:pt idx="28">
                  <c:v>0.46875</c:v>
                </c:pt>
                <c:pt idx="29">
                  <c:v>0.47708333333333341</c:v>
                </c:pt>
                <c:pt idx="30">
                  <c:v>0.4826388888888889</c:v>
                </c:pt>
                <c:pt idx="31">
                  <c:v>0.4861111111111111</c:v>
                </c:pt>
                <c:pt idx="32">
                  <c:v>0.49236111111111108</c:v>
                </c:pt>
                <c:pt idx="33">
                  <c:v>0.49722222222222218</c:v>
                </c:pt>
                <c:pt idx="34">
                  <c:v>0.50763888888888886</c:v>
                </c:pt>
                <c:pt idx="35">
                  <c:v>0.50972222222222219</c:v>
                </c:pt>
                <c:pt idx="36">
                  <c:v>0.62222222222222223</c:v>
                </c:pt>
                <c:pt idx="37">
                  <c:v>0.625</c:v>
                </c:pt>
                <c:pt idx="38">
                  <c:v>0.63124999999999998</c:v>
                </c:pt>
                <c:pt idx="39">
                  <c:v>0.63611111111111107</c:v>
                </c:pt>
                <c:pt idx="40">
                  <c:v>0.64236111111111116</c:v>
                </c:pt>
                <c:pt idx="41">
                  <c:v>0.64583333333333337</c:v>
                </c:pt>
                <c:pt idx="42">
                  <c:v>0.65625</c:v>
                </c:pt>
                <c:pt idx="43">
                  <c:v>0.65694444444444444</c:v>
                </c:pt>
                <c:pt idx="44">
                  <c:v>0.66111111111111109</c:v>
                </c:pt>
                <c:pt idx="45">
                  <c:v>0.66388888888888886</c:v>
                </c:pt>
                <c:pt idx="46">
                  <c:v>0.67083333333333328</c:v>
                </c:pt>
                <c:pt idx="47">
                  <c:v>0.67708333333333337</c:v>
                </c:pt>
                <c:pt idx="48">
                  <c:v>0.68263888888888891</c:v>
                </c:pt>
                <c:pt idx="49">
                  <c:v>0.68888888888888888</c:v>
                </c:pt>
                <c:pt idx="50">
                  <c:v>0.69374999999999998</c:v>
                </c:pt>
                <c:pt idx="51">
                  <c:v>0.6958333333333333</c:v>
                </c:pt>
                <c:pt idx="52">
                  <c:v>0.70277777777777772</c:v>
                </c:pt>
                <c:pt idx="53">
                  <c:v>0.70625000000000004</c:v>
                </c:pt>
                <c:pt idx="54">
                  <c:v>0.71388888888888891</c:v>
                </c:pt>
                <c:pt idx="55">
                  <c:v>0.71666666666666667</c:v>
                </c:pt>
                <c:pt idx="56">
                  <c:v>0.72499999999999998</c:v>
                </c:pt>
                <c:pt idx="57">
                  <c:v>0.72916666666666663</c:v>
                </c:pt>
                <c:pt idx="58">
                  <c:v>0.73263888888888884</c:v>
                </c:pt>
                <c:pt idx="59">
                  <c:v>0.73750000000000004</c:v>
                </c:pt>
                <c:pt idx="60">
                  <c:v>0.74513888888888891</c:v>
                </c:pt>
                <c:pt idx="61">
                  <c:v>0.74652777777777779</c:v>
                </c:pt>
                <c:pt idx="62">
                  <c:v>0.75347222222222221</c:v>
                </c:pt>
                <c:pt idx="63">
                  <c:v>0.75902777777777775</c:v>
                </c:pt>
              </c:numCache>
            </c:numRef>
          </c:xVal>
          <c:yVal>
            <c:numRef>
              <c:f>'Bus Sheet'!$R$2:$R$37</c:f>
              <c:numCache>
                <c:formatCode>h:mm</c:formatCode>
                <c:ptCount val="36"/>
                <c:pt idx="0">
                  <c:v>2.916666666666673E-2</c:v>
                </c:pt>
                <c:pt idx="1">
                  <c:v>2.9861111111111116E-2</c:v>
                </c:pt>
                <c:pt idx="2">
                  <c:v>2.5694444444444409E-2</c:v>
                </c:pt>
                <c:pt idx="3">
                  <c:v>2.2222222222222199E-2</c:v>
                </c:pt>
                <c:pt idx="4">
                  <c:v>3.0555555555555503E-2</c:v>
                </c:pt>
                <c:pt idx="5">
                  <c:v>2.9861111111111116E-2</c:v>
                </c:pt>
                <c:pt idx="6">
                  <c:v>2.2222222222222199E-2</c:v>
                </c:pt>
                <c:pt idx="7">
                  <c:v>2.9861111111111116E-2</c:v>
                </c:pt>
                <c:pt idx="8">
                  <c:v>2.5694444444444409E-2</c:v>
                </c:pt>
                <c:pt idx="9">
                  <c:v>2.9166666666666563E-2</c:v>
                </c:pt>
                <c:pt idx="10">
                  <c:v>2.9166666666666619E-2</c:v>
                </c:pt>
                <c:pt idx="11">
                  <c:v>2.430555555555558E-2</c:v>
                </c:pt>
                <c:pt idx="12">
                  <c:v>2.9861111111111061E-2</c:v>
                </c:pt>
                <c:pt idx="13">
                  <c:v>2.5694444444444409E-2</c:v>
                </c:pt>
                <c:pt idx="14">
                  <c:v>2.9166666666666674E-2</c:v>
                </c:pt>
                <c:pt idx="15">
                  <c:v>2.5000000000000022E-2</c:v>
                </c:pt>
                <c:pt idx="16">
                  <c:v>2.9861111111111116E-2</c:v>
                </c:pt>
                <c:pt idx="17">
                  <c:v>3.0555555555555503E-2</c:v>
                </c:pt>
                <c:pt idx="18">
                  <c:v>3.0555555555555503E-2</c:v>
                </c:pt>
                <c:pt idx="19">
                  <c:v>2.777777777777779E-2</c:v>
                </c:pt>
                <c:pt idx="20">
                  <c:v>3.472222222222221E-2</c:v>
                </c:pt>
                <c:pt idx="21">
                  <c:v>2.2222222222222199E-2</c:v>
                </c:pt>
                <c:pt idx="22">
                  <c:v>2.8472222222222232E-2</c:v>
                </c:pt>
                <c:pt idx="23">
                  <c:v>2.777777777777779E-2</c:v>
                </c:pt>
                <c:pt idx="24">
                  <c:v>3.0555555555555614E-2</c:v>
                </c:pt>
                <c:pt idx="25">
                  <c:v>2.7083333333333404E-2</c:v>
                </c:pt>
                <c:pt idx="26">
                  <c:v>2.7083333333333293E-2</c:v>
                </c:pt>
                <c:pt idx="27">
                  <c:v>1.7361111111111105E-2</c:v>
                </c:pt>
                <c:pt idx="28">
                  <c:v>2.2222222222222199E-2</c:v>
                </c:pt>
                <c:pt idx="29">
                  <c:v>2.8472222222222288E-2</c:v>
                </c:pt>
                <c:pt idx="30">
                  <c:v>3.2638888888888884E-2</c:v>
                </c:pt>
                <c:pt idx="31">
                  <c:v>2.8472222222222232E-2</c:v>
                </c:pt>
                <c:pt idx="32">
                  <c:v>2.9861111111111061E-2</c:v>
                </c:pt>
                <c:pt idx="33">
                  <c:v>2.9166666666666563E-2</c:v>
                </c:pt>
                <c:pt idx="34">
                  <c:v>3.0555555555555447E-2</c:v>
                </c:pt>
                <c:pt idx="35">
                  <c:v>2.8472222222222177E-2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C6B-5842-A85C-CF284A7D4F77}"/>
            </c:ext>
          </c:extLst>
        </c:ser>
        <c:ser>
          <c:idx val="1"/>
          <c:order val="1"/>
          <c:tx>
            <c:v>Afternoon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Sheet'!$Q$38:$Q$65</c:f>
              <c:numCache>
                <c:formatCode>h:mm</c:formatCode>
                <c:ptCount val="28"/>
                <c:pt idx="0">
                  <c:v>0.62222222222222223</c:v>
                </c:pt>
                <c:pt idx="1">
                  <c:v>0.625</c:v>
                </c:pt>
                <c:pt idx="2">
                  <c:v>0.63124999999999998</c:v>
                </c:pt>
                <c:pt idx="3">
                  <c:v>0.63611111111111107</c:v>
                </c:pt>
                <c:pt idx="4">
                  <c:v>0.64236111111111116</c:v>
                </c:pt>
                <c:pt idx="5">
                  <c:v>0.64583333333333337</c:v>
                </c:pt>
                <c:pt idx="6">
                  <c:v>0.65625</c:v>
                </c:pt>
                <c:pt idx="7">
                  <c:v>0.65694444444444444</c:v>
                </c:pt>
                <c:pt idx="8">
                  <c:v>0.66111111111111109</c:v>
                </c:pt>
                <c:pt idx="9">
                  <c:v>0.66388888888888886</c:v>
                </c:pt>
                <c:pt idx="10">
                  <c:v>0.67083333333333328</c:v>
                </c:pt>
                <c:pt idx="11">
                  <c:v>0.67708333333333337</c:v>
                </c:pt>
                <c:pt idx="12">
                  <c:v>0.68263888888888891</c:v>
                </c:pt>
                <c:pt idx="13">
                  <c:v>0.68888888888888888</c:v>
                </c:pt>
                <c:pt idx="14">
                  <c:v>0.69374999999999998</c:v>
                </c:pt>
                <c:pt idx="15">
                  <c:v>0.6958333333333333</c:v>
                </c:pt>
                <c:pt idx="16">
                  <c:v>0.70277777777777772</c:v>
                </c:pt>
                <c:pt idx="17">
                  <c:v>0.70625000000000004</c:v>
                </c:pt>
                <c:pt idx="18">
                  <c:v>0.71388888888888891</c:v>
                </c:pt>
                <c:pt idx="19">
                  <c:v>0.71666666666666667</c:v>
                </c:pt>
                <c:pt idx="20">
                  <c:v>0.72499999999999998</c:v>
                </c:pt>
                <c:pt idx="21">
                  <c:v>0.72916666666666663</c:v>
                </c:pt>
                <c:pt idx="22">
                  <c:v>0.73263888888888884</c:v>
                </c:pt>
                <c:pt idx="23">
                  <c:v>0.73750000000000004</c:v>
                </c:pt>
                <c:pt idx="24">
                  <c:v>0.74513888888888891</c:v>
                </c:pt>
                <c:pt idx="25">
                  <c:v>0.74652777777777779</c:v>
                </c:pt>
                <c:pt idx="26">
                  <c:v>0.75347222222222221</c:v>
                </c:pt>
                <c:pt idx="27">
                  <c:v>0.75902777777777775</c:v>
                </c:pt>
              </c:numCache>
            </c:numRef>
          </c:xVal>
          <c:yVal>
            <c:numRef>
              <c:f>'Bus Sheet'!$R$38:$R$65</c:f>
              <c:numCache>
                <c:formatCode>h:mm</c:formatCode>
                <c:ptCount val="28"/>
                <c:pt idx="0">
                  <c:v>2.8472222222222232E-2</c:v>
                </c:pt>
                <c:pt idx="1">
                  <c:v>2.7083333333333348E-2</c:v>
                </c:pt>
                <c:pt idx="2">
                  <c:v>2.777777777777779E-2</c:v>
                </c:pt>
                <c:pt idx="3">
                  <c:v>2.777777777777779E-2</c:v>
                </c:pt>
                <c:pt idx="4">
                  <c:v>2.8472222222222232E-2</c:v>
                </c:pt>
                <c:pt idx="5">
                  <c:v>2.5000000000000022E-2</c:v>
                </c:pt>
                <c:pt idx="6">
                  <c:v>2.777777777777779E-2</c:v>
                </c:pt>
                <c:pt idx="7">
                  <c:v>3.5416666666666652E-2</c:v>
                </c:pt>
                <c:pt idx="8">
                  <c:v>2.777777777777779E-2</c:v>
                </c:pt>
                <c:pt idx="9">
                  <c:v>2.7083333333333348E-2</c:v>
                </c:pt>
                <c:pt idx="10">
                  <c:v>2.8472222222222121E-2</c:v>
                </c:pt>
                <c:pt idx="11">
                  <c:v>2.9166666666666674E-2</c:v>
                </c:pt>
                <c:pt idx="12">
                  <c:v>2.8472222222222232E-2</c:v>
                </c:pt>
                <c:pt idx="13">
                  <c:v>3.125E-2</c:v>
                </c:pt>
                <c:pt idx="14">
                  <c:v>3.3333333333333326E-2</c:v>
                </c:pt>
                <c:pt idx="15">
                  <c:v>2.8472222222222232E-2</c:v>
                </c:pt>
                <c:pt idx="16">
                  <c:v>3.125E-2</c:v>
                </c:pt>
                <c:pt idx="17">
                  <c:v>2.9166666666666674E-2</c:v>
                </c:pt>
                <c:pt idx="18">
                  <c:v>3.2638888888888884E-2</c:v>
                </c:pt>
                <c:pt idx="19">
                  <c:v>2.9861111111111116E-2</c:v>
                </c:pt>
                <c:pt idx="20">
                  <c:v>3.2638888888888884E-2</c:v>
                </c:pt>
                <c:pt idx="21">
                  <c:v>3.1944444444444442E-2</c:v>
                </c:pt>
                <c:pt idx="22">
                  <c:v>3.0555555555555558E-2</c:v>
                </c:pt>
                <c:pt idx="23">
                  <c:v>2.9861111111111116E-2</c:v>
                </c:pt>
                <c:pt idx="24">
                  <c:v>3.125E-2</c:v>
                </c:pt>
                <c:pt idx="25">
                  <c:v>2.9166666666666674E-2</c:v>
                </c:pt>
                <c:pt idx="26">
                  <c:v>3.125E-2</c:v>
                </c:pt>
                <c:pt idx="27">
                  <c:v>3.125E-2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C6B-5842-A85C-CF284A7D4F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176224"/>
        <c:axId val="1683179296"/>
      </c:scatterChart>
      <c:valAx>
        <c:axId val="487176224"/>
        <c:scaling>
          <c:orientation val="minMax"/>
          <c:min val="0.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3179296"/>
        <c:crosses val="autoZero"/>
        <c:crossBetween val="midCat"/>
      </c:valAx>
      <c:valAx>
        <c:axId val="1683179296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7176224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xVal>
            <c:numRef>
              <c:f>'Bus Sheet'!$AL$3:$AL$10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Sheet'!$AM$3:$AM$10</c:f>
              <c:numCache>
                <c:formatCode>h:mm</c:formatCode>
                <c:ptCount val="8"/>
                <c:pt idx="0">
                  <c:v>2.749999999999999E-2</c:v>
                </c:pt>
                <c:pt idx="1">
                  <c:v>2.7272727272727251E-2</c:v>
                </c:pt>
                <c:pt idx="2">
                  <c:v>2.7835648148148148E-2</c:v>
                </c:pt>
                <c:pt idx="3">
                  <c:v>2.8732638888888856E-2</c:v>
                </c:pt>
                <c:pt idx="4">
                  <c:v>2.777777777777779E-2</c:v>
                </c:pt>
                <c:pt idx="5">
                  <c:v>2.8472222222222218E-2</c:v>
                </c:pt>
                <c:pt idx="6">
                  <c:v>3.0401234567901239E-2</c:v>
                </c:pt>
                <c:pt idx="7">
                  <c:v>3.0989583333333334E-2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990-6340-AE99-AE4B9DE4A6C3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xVal>
            <c:numRef>
              <c:f>'Bus Sheet'!$AL$3:$AL$10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Sheet'!$AP$3:$AP$10</c:f>
              <c:numCache>
                <c:formatCode>h:mm</c:formatCode>
                <c:ptCount val="8"/>
                <c:pt idx="0">
                  <c:v>2.916666666666673E-2</c:v>
                </c:pt>
                <c:pt idx="1">
                  <c:v>2.9166666666666563E-2</c:v>
                </c:pt>
                <c:pt idx="2">
                  <c:v>2.8125000000000011E-2</c:v>
                </c:pt>
                <c:pt idx="3">
                  <c:v>2.8819444444444425E-2</c:v>
                </c:pt>
                <c:pt idx="4">
                  <c:v>2.777777777777779E-2</c:v>
                </c:pt>
                <c:pt idx="5">
                  <c:v>2.777777777777779E-2</c:v>
                </c:pt>
                <c:pt idx="6">
                  <c:v>2.9861111111111116E-2</c:v>
                </c:pt>
                <c:pt idx="7">
                  <c:v>3.125E-2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6990-6340-AE99-AE4B9DE4A6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66330160"/>
        <c:axId val="1256978240"/>
      </c:scatterChart>
      <c:valAx>
        <c:axId val="1066330160"/>
        <c:scaling>
          <c:orientation val="minMax"/>
          <c:min val="0.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6978240"/>
        <c:crosses val="autoZero"/>
        <c:crossBetween val="midCat"/>
      </c:valAx>
      <c:valAx>
        <c:axId val="1256978240"/>
        <c:scaling>
          <c:orientation val="minMax"/>
          <c:min val="2.5000000000000001E-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6330160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xVal>
            <c:numRef>
              <c:f>'Bus Sheet'!$AL$3:$AL$10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Sheet'!$AT$3:$AT$10</c:f>
              <c:numCache>
                <c:formatCode>h:mm</c:formatCode>
                <c:ptCount val="8"/>
                <c:pt idx="0">
                  <c:v>2.6620370370370312E-2</c:v>
                </c:pt>
                <c:pt idx="1">
                  <c:v>2.5595238095238098E-2</c:v>
                </c:pt>
                <c:pt idx="2">
                  <c:v>2.3871527777777776E-2</c:v>
                </c:pt>
                <c:pt idx="3">
                  <c:v>2.4810606060606047E-2</c:v>
                </c:pt>
                <c:pt idx="4">
                  <c:v>2.416666666666669E-2</c:v>
                </c:pt>
                <c:pt idx="5">
                  <c:v>2.3524305555555541E-2</c:v>
                </c:pt>
                <c:pt idx="6">
                  <c:v>2.6388888888888906E-2</c:v>
                </c:pt>
                <c:pt idx="7">
                  <c:v>2.6388888888888906E-2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D17-0841-9987-5F2699757605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xVal>
            <c:numRef>
              <c:f>'Bus Sheet'!$AL$3:$AL$10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Sheet'!$AW$3:$AW$10</c:f>
              <c:numCache>
                <c:formatCode>h:mm</c:formatCode>
                <c:ptCount val="8"/>
                <c:pt idx="0">
                  <c:v>2.7083333333333293E-2</c:v>
                </c:pt>
                <c:pt idx="1">
                  <c:v>2.5347222222222215E-2</c:v>
                </c:pt>
                <c:pt idx="2">
                  <c:v>2.4305555555555525E-2</c:v>
                </c:pt>
                <c:pt idx="3">
                  <c:v>2.5694444444444409E-2</c:v>
                </c:pt>
                <c:pt idx="4">
                  <c:v>2.3611111111111138E-2</c:v>
                </c:pt>
                <c:pt idx="5">
                  <c:v>2.3263888888888917E-2</c:v>
                </c:pt>
                <c:pt idx="6">
                  <c:v>2.6388888888888906E-2</c:v>
                </c:pt>
                <c:pt idx="7">
                  <c:v>2.6388888888888906E-2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D17-0841-9987-5F26997576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66330160"/>
        <c:axId val="1256978240"/>
      </c:scatterChart>
      <c:valAx>
        <c:axId val="1066330160"/>
        <c:scaling>
          <c:orientation val="minMax"/>
          <c:min val="0.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6978240"/>
        <c:crosses val="autoZero"/>
        <c:crossBetween val="midCat"/>
      </c:valAx>
      <c:valAx>
        <c:axId val="1256978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6330160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Morning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Sheet'!$AL$3:$AL$10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Sheet'!$AM$3:$AM$6</c:f>
              <c:numCache>
                <c:formatCode>h:mm</c:formatCode>
                <c:ptCount val="4"/>
                <c:pt idx="0">
                  <c:v>2.749999999999999E-2</c:v>
                </c:pt>
                <c:pt idx="1">
                  <c:v>2.7272727272727251E-2</c:v>
                </c:pt>
                <c:pt idx="2">
                  <c:v>2.7835648148148148E-2</c:v>
                </c:pt>
                <c:pt idx="3">
                  <c:v>2.8732638888888856E-2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810-464D-AD0F-0141BE282944}"/>
            </c:ext>
          </c:extLst>
        </c:ser>
        <c:ser>
          <c:idx val="1"/>
          <c:order val="1"/>
          <c:tx>
            <c:v>Afternoon</c:v>
          </c:tx>
          <c:spPr>
            <a:ln w="1905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Sheet'!$AL$7:$AL$10</c:f>
              <c:numCache>
                <c:formatCode>h:mm</c:formatCode>
                <c:ptCount val="4"/>
                <c:pt idx="0">
                  <c:v>0.63541666666666663</c:v>
                </c:pt>
                <c:pt idx="1">
                  <c:v>0.67708333333333337</c:v>
                </c:pt>
                <c:pt idx="2">
                  <c:v>0.71875</c:v>
                </c:pt>
                <c:pt idx="3">
                  <c:v>0.76041666666666663</c:v>
                </c:pt>
              </c:numCache>
            </c:numRef>
          </c:xVal>
          <c:yVal>
            <c:numRef>
              <c:f>'Bus Sheet'!$AM$7:$AM$10</c:f>
              <c:numCache>
                <c:formatCode>h:mm</c:formatCode>
                <c:ptCount val="4"/>
                <c:pt idx="0">
                  <c:v>2.777777777777779E-2</c:v>
                </c:pt>
                <c:pt idx="1">
                  <c:v>2.8472222222222218E-2</c:v>
                </c:pt>
                <c:pt idx="2">
                  <c:v>3.0401234567901239E-2</c:v>
                </c:pt>
                <c:pt idx="3">
                  <c:v>3.0989583333333334E-2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F810-464D-AD0F-0141BE2829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8154208"/>
        <c:axId val="258156480"/>
      </c:scatterChart>
      <c:valAx>
        <c:axId val="2581542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8156480"/>
        <c:crosses val="autoZero"/>
        <c:crossBetween val="midCat"/>
      </c:valAx>
      <c:valAx>
        <c:axId val="258156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8154208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endParaRPr lang="en-GB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Morning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Sheet'!$AL$3:$AL$10</c:f>
              <c:numCache>
                <c:formatCode>h:mm</c:formatCode>
                <c:ptCount val="8"/>
                <c:pt idx="0">
                  <c:v>0.38541666666666669</c:v>
                </c:pt>
                <c:pt idx="1">
                  <c:v>0.42708333333333331</c:v>
                </c:pt>
                <c:pt idx="2">
                  <c:v>0.46875</c:v>
                </c:pt>
                <c:pt idx="3">
                  <c:v>0.51041666666666663</c:v>
                </c:pt>
                <c:pt idx="4">
                  <c:v>0.63541666666666663</c:v>
                </c:pt>
                <c:pt idx="5">
                  <c:v>0.67708333333333337</c:v>
                </c:pt>
                <c:pt idx="6">
                  <c:v>0.71875</c:v>
                </c:pt>
                <c:pt idx="7">
                  <c:v>0.76041666666666663</c:v>
                </c:pt>
              </c:numCache>
            </c:numRef>
          </c:xVal>
          <c:yVal>
            <c:numRef>
              <c:f>'Bus Sheet'!$AT$3:$AT$6</c:f>
              <c:numCache>
                <c:formatCode>h:mm</c:formatCode>
                <c:ptCount val="4"/>
                <c:pt idx="0">
                  <c:v>2.6620370370370312E-2</c:v>
                </c:pt>
                <c:pt idx="1">
                  <c:v>2.5595238095238098E-2</c:v>
                </c:pt>
                <c:pt idx="2">
                  <c:v>2.3871527777777776E-2</c:v>
                </c:pt>
                <c:pt idx="3">
                  <c:v>2.4810606060606047E-2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A79-1445-B7AB-8FC43569EA09}"/>
            </c:ext>
          </c:extLst>
        </c:ser>
        <c:ser>
          <c:idx val="1"/>
          <c:order val="1"/>
          <c:tx>
            <c:v>Afternoon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Sheet'!$AL$7:$AL$10</c:f>
              <c:numCache>
                <c:formatCode>h:mm</c:formatCode>
                <c:ptCount val="4"/>
                <c:pt idx="0">
                  <c:v>0.63541666666666663</c:v>
                </c:pt>
                <c:pt idx="1">
                  <c:v>0.67708333333333337</c:v>
                </c:pt>
                <c:pt idx="2">
                  <c:v>0.71875</c:v>
                </c:pt>
                <c:pt idx="3">
                  <c:v>0.76041666666666663</c:v>
                </c:pt>
              </c:numCache>
            </c:numRef>
          </c:xVal>
          <c:yVal>
            <c:numRef>
              <c:f>'Bus Sheet'!$AT$7:$AT$10</c:f>
              <c:numCache>
                <c:formatCode>h:mm</c:formatCode>
                <c:ptCount val="4"/>
                <c:pt idx="0">
                  <c:v>2.416666666666669E-2</c:v>
                </c:pt>
                <c:pt idx="1">
                  <c:v>2.3524305555555541E-2</c:v>
                </c:pt>
                <c:pt idx="2">
                  <c:v>2.6388888888888906E-2</c:v>
                </c:pt>
                <c:pt idx="3">
                  <c:v>2.6388888888888906E-2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FA79-1445-B7AB-8FC43569EA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8154208"/>
        <c:axId val="258156480"/>
      </c:scatterChart>
      <c:valAx>
        <c:axId val="2581542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8156480"/>
        <c:crosses val="autoZero"/>
        <c:crossBetween val="midCat"/>
      </c:valAx>
      <c:valAx>
        <c:axId val="258156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8154208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U2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Morning</c:v>
          </c:tx>
          <c:spPr>
            <a:ln w="1905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 (2)'!$AD$2:$AD$79</c:f>
              <c:numCache>
                <c:formatCode>h:mm</c:formatCode>
                <c:ptCount val="78"/>
                <c:pt idx="0">
                  <c:v>0.37847222222222221</c:v>
                </c:pt>
                <c:pt idx="1">
                  <c:v>0.38055555555555548</c:v>
                </c:pt>
                <c:pt idx="2">
                  <c:v>0.38472222222222219</c:v>
                </c:pt>
                <c:pt idx="3">
                  <c:v>0.38750000000000001</c:v>
                </c:pt>
                <c:pt idx="4">
                  <c:v>0.3888888888888889</c:v>
                </c:pt>
                <c:pt idx="5">
                  <c:v>0.38958333333333328</c:v>
                </c:pt>
                <c:pt idx="6">
                  <c:v>0.39583333333333331</c:v>
                </c:pt>
                <c:pt idx="7">
                  <c:v>0.4</c:v>
                </c:pt>
                <c:pt idx="8">
                  <c:v>0.40416666666666667</c:v>
                </c:pt>
                <c:pt idx="9">
                  <c:v>0.40763888888888888</c:v>
                </c:pt>
                <c:pt idx="10">
                  <c:v>0.40833333333333333</c:v>
                </c:pt>
                <c:pt idx="11">
                  <c:v>0.41249999999999998</c:v>
                </c:pt>
                <c:pt idx="12">
                  <c:v>0.41458333333333341</c:v>
                </c:pt>
                <c:pt idx="13">
                  <c:v>0.41666666666666669</c:v>
                </c:pt>
                <c:pt idx="14">
                  <c:v>0.41875000000000001</c:v>
                </c:pt>
                <c:pt idx="15">
                  <c:v>0.42152777777777778</c:v>
                </c:pt>
                <c:pt idx="16">
                  <c:v>0.42222222222222222</c:v>
                </c:pt>
                <c:pt idx="17">
                  <c:v>0.4284722222222222</c:v>
                </c:pt>
                <c:pt idx="18">
                  <c:v>0.43402777777777779</c:v>
                </c:pt>
                <c:pt idx="19">
                  <c:v>0.43888888888888888</c:v>
                </c:pt>
                <c:pt idx="20">
                  <c:v>0.44444444444444442</c:v>
                </c:pt>
                <c:pt idx="21">
                  <c:v>0.44722222222222219</c:v>
                </c:pt>
                <c:pt idx="22">
                  <c:v>0.45</c:v>
                </c:pt>
                <c:pt idx="23">
                  <c:v>0.45763888888888887</c:v>
                </c:pt>
                <c:pt idx="24">
                  <c:v>0.46180555555555558</c:v>
                </c:pt>
                <c:pt idx="25">
                  <c:v>0.46875</c:v>
                </c:pt>
                <c:pt idx="26">
                  <c:v>0.47361111111111109</c:v>
                </c:pt>
                <c:pt idx="27">
                  <c:v>0.4777777777777778</c:v>
                </c:pt>
                <c:pt idx="28">
                  <c:v>0.48402777777777778</c:v>
                </c:pt>
                <c:pt idx="29">
                  <c:v>0.48472222222222222</c:v>
                </c:pt>
                <c:pt idx="30">
                  <c:v>0.48958333333333331</c:v>
                </c:pt>
                <c:pt idx="31">
                  <c:v>0.49513888888888891</c:v>
                </c:pt>
                <c:pt idx="32">
                  <c:v>0.50138888888888888</c:v>
                </c:pt>
                <c:pt idx="33">
                  <c:v>0.50347222222222221</c:v>
                </c:pt>
                <c:pt idx="34">
                  <c:v>0.50972222222222219</c:v>
                </c:pt>
                <c:pt idx="35">
                  <c:v>0.50972222222222219</c:v>
                </c:pt>
                <c:pt idx="36">
                  <c:v>0.61458333333333337</c:v>
                </c:pt>
                <c:pt idx="37">
                  <c:v>0.61736111111111114</c:v>
                </c:pt>
                <c:pt idx="38">
                  <c:v>0.62222222222222223</c:v>
                </c:pt>
                <c:pt idx="39">
                  <c:v>0.62777777777777777</c:v>
                </c:pt>
                <c:pt idx="40">
                  <c:v>0.63124999999999998</c:v>
                </c:pt>
                <c:pt idx="41">
                  <c:v>0.63611111111111107</c:v>
                </c:pt>
                <c:pt idx="42">
                  <c:v>0.6430555555555556</c:v>
                </c:pt>
                <c:pt idx="43">
                  <c:v>0.65</c:v>
                </c:pt>
                <c:pt idx="44">
                  <c:v>0.65138888888888891</c:v>
                </c:pt>
                <c:pt idx="45">
                  <c:v>0.65555555555555556</c:v>
                </c:pt>
                <c:pt idx="46">
                  <c:v>0.66249999999999998</c:v>
                </c:pt>
                <c:pt idx="47">
                  <c:v>0.66527777777777775</c:v>
                </c:pt>
                <c:pt idx="48">
                  <c:v>0.66874999999999996</c:v>
                </c:pt>
                <c:pt idx="49">
                  <c:v>0.67708333333333337</c:v>
                </c:pt>
                <c:pt idx="50">
                  <c:v>0.68333333333333335</c:v>
                </c:pt>
                <c:pt idx="51">
                  <c:v>0.69097222222222221</c:v>
                </c:pt>
                <c:pt idx="52">
                  <c:v>0.69166666666666665</c:v>
                </c:pt>
                <c:pt idx="53">
                  <c:v>0.70416666666666672</c:v>
                </c:pt>
                <c:pt idx="54">
                  <c:v>0.70416666666666672</c:v>
                </c:pt>
                <c:pt idx="55">
                  <c:v>0.70763888888888893</c:v>
                </c:pt>
                <c:pt idx="56">
                  <c:v>0.71388888888888891</c:v>
                </c:pt>
                <c:pt idx="57">
                  <c:v>0.72361111111111109</c:v>
                </c:pt>
                <c:pt idx="58">
                  <c:v>0.72916666666666663</c:v>
                </c:pt>
                <c:pt idx="59">
                  <c:v>0.73472222222222228</c:v>
                </c:pt>
                <c:pt idx="60">
                  <c:v>0.73472222222222228</c:v>
                </c:pt>
                <c:pt idx="61">
                  <c:v>0.7416666666666667</c:v>
                </c:pt>
                <c:pt idx="62">
                  <c:v>0.74930555555555556</c:v>
                </c:pt>
                <c:pt idx="63">
                  <c:v>0.75347222222222221</c:v>
                </c:pt>
                <c:pt idx="64">
                  <c:v>0.75902777777777775</c:v>
                </c:pt>
              </c:numCache>
            </c:numRef>
          </c:xVal>
          <c:yVal>
            <c:numRef>
              <c:f>'Bus Sheet (2)'!$AE$2:$AE$37</c:f>
              <c:numCache>
                <c:formatCode>h:mm</c:formatCode>
                <c:ptCount val="36"/>
                <c:pt idx="0">
                  <c:v>2.7083333333333293E-2</c:v>
                </c:pt>
                <c:pt idx="1">
                  <c:v>2.5694444444444353E-2</c:v>
                </c:pt>
                <c:pt idx="2">
                  <c:v>2.7083333333333293E-2</c:v>
                </c:pt>
                <c:pt idx="3">
                  <c:v>2.5000000000000022E-2</c:v>
                </c:pt>
                <c:pt idx="4">
                  <c:v>2.2916666666666696E-2</c:v>
                </c:pt>
                <c:pt idx="5">
                  <c:v>2.8472222222222177E-2</c:v>
                </c:pt>
                <c:pt idx="6">
                  <c:v>2.8472222222222232E-2</c:v>
                </c:pt>
                <c:pt idx="7">
                  <c:v>2.5000000000000022E-2</c:v>
                </c:pt>
                <c:pt idx="8">
                  <c:v>2.430555555555558E-2</c:v>
                </c:pt>
                <c:pt idx="9">
                  <c:v>2.6388888888888906E-2</c:v>
                </c:pt>
                <c:pt idx="10">
                  <c:v>2.5694444444444409E-2</c:v>
                </c:pt>
                <c:pt idx="11">
                  <c:v>2.7083333333333293E-2</c:v>
                </c:pt>
                <c:pt idx="12">
                  <c:v>2.7083333333333404E-2</c:v>
                </c:pt>
                <c:pt idx="13">
                  <c:v>2.3611111111111194E-2</c:v>
                </c:pt>
                <c:pt idx="14">
                  <c:v>2.7083333333333293E-2</c:v>
                </c:pt>
                <c:pt idx="15">
                  <c:v>2.4999999999999967E-2</c:v>
                </c:pt>
                <c:pt idx="16">
                  <c:v>2.2222222222222199E-2</c:v>
                </c:pt>
                <c:pt idx="17">
                  <c:v>2.3611111111111083E-2</c:v>
                </c:pt>
                <c:pt idx="18">
                  <c:v>2.4999999999999967E-2</c:v>
                </c:pt>
                <c:pt idx="19">
                  <c:v>2.4999999999999967E-2</c:v>
                </c:pt>
                <c:pt idx="20">
                  <c:v>2.5694444444444409E-2</c:v>
                </c:pt>
                <c:pt idx="21">
                  <c:v>2.2916666666666696E-2</c:v>
                </c:pt>
                <c:pt idx="22">
                  <c:v>2.0833333333333426E-2</c:v>
                </c:pt>
                <c:pt idx="23">
                  <c:v>2.4999999999999967E-2</c:v>
                </c:pt>
                <c:pt idx="24">
                  <c:v>2.2916666666666696E-2</c:v>
                </c:pt>
                <c:pt idx="25">
                  <c:v>2.569444444444452E-2</c:v>
                </c:pt>
                <c:pt idx="26">
                  <c:v>2.5694444444444409E-2</c:v>
                </c:pt>
                <c:pt idx="27">
                  <c:v>2.5000000000000022E-2</c:v>
                </c:pt>
                <c:pt idx="28">
                  <c:v>2.6388888888888906E-2</c:v>
                </c:pt>
                <c:pt idx="29">
                  <c:v>2.1527777777777701E-2</c:v>
                </c:pt>
                <c:pt idx="30">
                  <c:v>2.2222222222222199E-2</c:v>
                </c:pt>
                <c:pt idx="31">
                  <c:v>2.2222222222222199E-2</c:v>
                </c:pt>
                <c:pt idx="32">
                  <c:v>2.7083333333333404E-2</c:v>
                </c:pt>
                <c:pt idx="33">
                  <c:v>2.6388888888888795E-2</c:v>
                </c:pt>
                <c:pt idx="34">
                  <c:v>2.7777777777777679E-2</c:v>
                </c:pt>
                <c:pt idx="35">
                  <c:v>2.2916666666666696E-2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CE-0140-9E7F-865282392DE0}"/>
            </c:ext>
          </c:extLst>
        </c:ser>
        <c:ser>
          <c:idx val="1"/>
          <c:order val="1"/>
          <c:tx>
            <c:v>Afternoon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 (2)'!$AD$38:$AD$66</c:f>
              <c:numCache>
                <c:formatCode>h:mm</c:formatCode>
                <c:ptCount val="29"/>
                <c:pt idx="0">
                  <c:v>0.61458333333333337</c:v>
                </c:pt>
                <c:pt idx="1">
                  <c:v>0.61736111111111114</c:v>
                </c:pt>
                <c:pt idx="2">
                  <c:v>0.62222222222222223</c:v>
                </c:pt>
                <c:pt idx="3">
                  <c:v>0.62777777777777777</c:v>
                </c:pt>
                <c:pt idx="4">
                  <c:v>0.63124999999999998</c:v>
                </c:pt>
                <c:pt idx="5">
                  <c:v>0.63611111111111107</c:v>
                </c:pt>
                <c:pt idx="6">
                  <c:v>0.6430555555555556</c:v>
                </c:pt>
                <c:pt idx="7">
                  <c:v>0.65</c:v>
                </c:pt>
                <c:pt idx="8">
                  <c:v>0.65138888888888891</c:v>
                </c:pt>
                <c:pt idx="9">
                  <c:v>0.65555555555555556</c:v>
                </c:pt>
                <c:pt idx="10">
                  <c:v>0.66249999999999998</c:v>
                </c:pt>
                <c:pt idx="11">
                  <c:v>0.66527777777777775</c:v>
                </c:pt>
                <c:pt idx="12">
                  <c:v>0.66874999999999996</c:v>
                </c:pt>
                <c:pt idx="13">
                  <c:v>0.67708333333333337</c:v>
                </c:pt>
                <c:pt idx="14">
                  <c:v>0.68333333333333335</c:v>
                </c:pt>
                <c:pt idx="15">
                  <c:v>0.69097222222222221</c:v>
                </c:pt>
                <c:pt idx="16">
                  <c:v>0.69166666666666665</c:v>
                </c:pt>
                <c:pt idx="17">
                  <c:v>0.70416666666666672</c:v>
                </c:pt>
                <c:pt idx="18">
                  <c:v>0.70416666666666672</c:v>
                </c:pt>
                <c:pt idx="19">
                  <c:v>0.70763888888888893</c:v>
                </c:pt>
                <c:pt idx="20">
                  <c:v>0.71388888888888891</c:v>
                </c:pt>
                <c:pt idx="21">
                  <c:v>0.72361111111111109</c:v>
                </c:pt>
                <c:pt idx="22">
                  <c:v>0.72916666666666663</c:v>
                </c:pt>
                <c:pt idx="23">
                  <c:v>0.73472222222222228</c:v>
                </c:pt>
                <c:pt idx="24">
                  <c:v>0.73472222222222228</c:v>
                </c:pt>
                <c:pt idx="25">
                  <c:v>0.7416666666666667</c:v>
                </c:pt>
                <c:pt idx="26">
                  <c:v>0.74930555555555556</c:v>
                </c:pt>
                <c:pt idx="27">
                  <c:v>0.75347222222222221</c:v>
                </c:pt>
                <c:pt idx="28">
                  <c:v>0.75902777777777775</c:v>
                </c:pt>
              </c:numCache>
            </c:numRef>
          </c:xVal>
          <c:yVal>
            <c:numRef>
              <c:f>'Bus Sheet (2)'!$AE$38:$AE$66</c:f>
              <c:numCache>
                <c:formatCode>h:mm</c:formatCode>
                <c:ptCount val="29"/>
                <c:pt idx="0">
                  <c:v>2.6388888888888906E-2</c:v>
                </c:pt>
                <c:pt idx="1">
                  <c:v>2.2916666666666696E-2</c:v>
                </c:pt>
                <c:pt idx="2">
                  <c:v>2.3611111111111138E-2</c:v>
                </c:pt>
                <c:pt idx="3">
                  <c:v>2.5694444444444464E-2</c:v>
                </c:pt>
                <c:pt idx="4">
                  <c:v>2.2222222222222254E-2</c:v>
                </c:pt>
                <c:pt idx="5">
                  <c:v>2.2916666666666585E-2</c:v>
                </c:pt>
                <c:pt idx="6">
                  <c:v>2.5000000000000022E-2</c:v>
                </c:pt>
                <c:pt idx="7">
                  <c:v>2.6388888888888906E-2</c:v>
                </c:pt>
                <c:pt idx="8">
                  <c:v>2.3611111111111138E-2</c:v>
                </c:pt>
                <c:pt idx="9">
                  <c:v>2.2916666666666696E-2</c:v>
                </c:pt>
                <c:pt idx="10">
                  <c:v>2.430555555555558E-2</c:v>
                </c:pt>
                <c:pt idx="11">
                  <c:v>2.2222222222222143E-2</c:v>
                </c:pt>
                <c:pt idx="12">
                  <c:v>2.0833333333333259E-2</c:v>
                </c:pt>
                <c:pt idx="13">
                  <c:v>2.430555555555558E-2</c:v>
                </c:pt>
                <c:pt idx="14">
                  <c:v>2.430555555555558E-2</c:v>
                </c:pt>
                <c:pt idx="15">
                  <c:v>2.6388888888888906E-2</c:v>
                </c:pt>
                <c:pt idx="16">
                  <c:v>2.430555555555558E-2</c:v>
                </c:pt>
                <c:pt idx="17">
                  <c:v>3.125E-2</c:v>
                </c:pt>
                <c:pt idx="18">
                  <c:v>2.7083333333333348E-2</c:v>
                </c:pt>
                <c:pt idx="19">
                  <c:v>2.6388888888888906E-2</c:v>
                </c:pt>
                <c:pt idx="20">
                  <c:v>2.7083333333333348E-2</c:v>
                </c:pt>
                <c:pt idx="21">
                  <c:v>2.6388888888888906E-2</c:v>
                </c:pt>
                <c:pt idx="22">
                  <c:v>2.8472222222222232E-2</c:v>
                </c:pt>
                <c:pt idx="23">
                  <c:v>2.7083333333333348E-2</c:v>
                </c:pt>
                <c:pt idx="24">
                  <c:v>2.3611111111111138E-2</c:v>
                </c:pt>
                <c:pt idx="25">
                  <c:v>2.5694444444444464E-2</c:v>
                </c:pt>
                <c:pt idx="26">
                  <c:v>2.7083333333333348E-2</c:v>
                </c:pt>
                <c:pt idx="27">
                  <c:v>2.6388888888888906E-2</c:v>
                </c:pt>
                <c:pt idx="28">
                  <c:v>2.6388888888888906E-2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CE-0140-9E7F-865282392D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176224"/>
        <c:axId val="1683179296"/>
      </c:scatterChart>
      <c:valAx>
        <c:axId val="487176224"/>
        <c:scaling>
          <c:orientation val="minMax"/>
          <c:min val="0.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3179296"/>
        <c:crosses val="autoZero"/>
        <c:crossBetween val="midCat"/>
      </c:valAx>
      <c:valAx>
        <c:axId val="1683179296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7176224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U1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Morning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 (2)'!$Q$2:$Q$85</c:f>
              <c:numCache>
                <c:formatCode>h:mm</c:formatCode>
                <c:ptCount val="84"/>
                <c:pt idx="0">
                  <c:v>0.35972222222222222</c:v>
                </c:pt>
                <c:pt idx="1">
                  <c:v>0.36875000000000002</c:v>
                </c:pt>
                <c:pt idx="2">
                  <c:v>0.37777777777777782</c:v>
                </c:pt>
                <c:pt idx="3">
                  <c:v>0.38124999999999998</c:v>
                </c:pt>
                <c:pt idx="4">
                  <c:v>0.38263888888888892</c:v>
                </c:pt>
                <c:pt idx="5">
                  <c:v>0.38611111111111113</c:v>
                </c:pt>
                <c:pt idx="6">
                  <c:v>0.39027777777777778</c:v>
                </c:pt>
                <c:pt idx="7">
                  <c:v>0.3923611111111111</c:v>
                </c:pt>
                <c:pt idx="8">
                  <c:v>0.39583333333333331</c:v>
                </c:pt>
                <c:pt idx="9">
                  <c:v>0.39861111111111108</c:v>
                </c:pt>
                <c:pt idx="10">
                  <c:v>0.40208333333333329</c:v>
                </c:pt>
                <c:pt idx="11">
                  <c:v>0.40625</c:v>
                </c:pt>
                <c:pt idx="12">
                  <c:v>0.40763888888888888</c:v>
                </c:pt>
                <c:pt idx="13">
                  <c:v>0.41388888888888892</c:v>
                </c:pt>
                <c:pt idx="14">
                  <c:v>0.41666666666666669</c:v>
                </c:pt>
                <c:pt idx="15">
                  <c:v>0.41875000000000001</c:v>
                </c:pt>
                <c:pt idx="16">
                  <c:v>0.4284722222222222</c:v>
                </c:pt>
                <c:pt idx="17">
                  <c:v>0.42986111111111108</c:v>
                </c:pt>
                <c:pt idx="18">
                  <c:v>0.43333333333333329</c:v>
                </c:pt>
                <c:pt idx="19">
                  <c:v>0.43402777777777779</c:v>
                </c:pt>
                <c:pt idx="20">
                  <c:v>0.43611111111111112</c:v>
                </c:pt>
                <c:pt idx="21">
                  <c:v>0.43888888888888888</c:v>
                </c:pt>
                <c:pt idx="22">
                  <c:v>0.44097222222222221</c:v>
                </c:pt>
                <c:pt idx="23">
                  <c:v>0.44513888888888892</c:v>
                </c:pt>
                <c:pt idx="24">
                  <c:v>0.4513888888888889</c:v>
                </c:pt>
                <c:pt idx="25">
                  <c:v>0.45624999999999999</c:v>
                </c:pt>
                <c:pt idx="26">
                  <c:v>0.45694444444444438</c:v>
                </c:pt>
                <c:pt idx="27">
                  <c:v>0.4597222222222222</c:v>
                </c:pt>
                <c:pt idx="28">
                  <c:v>0.46875</c:v>
                </c:pt>
                <c:pt idx="29">
                  <c:v>0.47708333333333341</c:v>
                </c:pt>
                <c:pt idx="30">
                  <c:v>0.4826388888888889</c:v>
                </c:pt>
                <c:pt idx="31">
                  <c:v>0.4861111111111111</c:v>
                </c:pt>
                <c:pt idx="32">
                  <c:v>0.49236111111111108</c:v>
                </c:pt>
                <c:pt idx="33">
                  <c:v>0.49722222222222218</c:v>
                </c:pt>
                <c:pt idx="34">
                  <c:v>0.50763888888888886</c:v>
                </c:pt>
                <c:pt idx="35">
                  <c:v>0.50972222222222219</c:v>
                </c:pt>
                <c:pt idx="36">
                  <c:v>0.62222222222222223</c:v>
                </c:pt>
                <c:pt idx="37">
                  <c:v>0.625</c:v>
                </c:pt>
                <c:pt idx="38">
                  <c:v>0.63124999999999998</c:v>
                </c:pt>
                <c:pt idx="39">
                  <c:v>0.63611111111111107</c:v>
                </c:pt>
                <c:pt idx="40">
                  <c:v>0.64236111111111116</c:v>
                </c:pt>
                <c:pt idx="41">
                  <c:v>0.64583333333333337</c:v>
                </c:pt>
                <c:pt idx="42">
                  <c:v>0.65625</c:v>
                </c:pt>
                <c:pt idx="43">
                  <c:v>0.65694444444444444</c:v>
                </c:pt>
                <c:pt idx="44">
                  <c:v>0.66111111111111109</c:v>
                </c:pt>
                <c:pt idx="45">
                  <c:v>0.66388888888888886</c:v>
                </c:pt>
                <c:pt idx="46">
                  <c:v>0.67083333333333328</c:v>
                </c:pt>
                <c:pt idx="47">
                  <c:v>0.67708333333333337</c:v>
                </c:pt>
                <c:pt idx="48">
                  <c:v>0.68263888888888891</c:v>
                </c:pt>
                <c:pt idx="49">
                  <c:v>0.68888888888888888</c:v>
                </c:pt>
                <c:pt idx="50">
                  <c:v>0.69374999999999998</c:v>
                </c:pt>
                <c:pt idx="51">
                  <c:v>0.6958333333333333</c:v>
                </c:pt>
                <c:pt idx="52">
                  <c:v>0.70277777777777772</c:v>
                </c:pt>
                <c:pt idx="53">
                  <c:v>0.70625000000000004</c:v>
                </c:pt>
                <c:pt idx="54">
                  <c:v>0.71388888888888891</c:v>
                </c:pt>
                <c:pt idx="55">
                  <c:v>0.71666666666666667</c:v>
                </c:pt>
                <c:pt idx="56">
                  <c:v>0.72499999999999998</c:v>
                </c:pt>
                <c:pt idx="57">
                  <c:v>0.72916666666666663</c:v>
                </c:pt>
                <c:pt idx="58">
                  <c:v>0.73263888888888884</c:v>
                </c:pt>
                <c:pt idx="59">
                  <c:v>0.73750000000000004</c:v>
                </c:pt>
                <c:pt idx="60">
                  <c:v>0.74513888888888891</c:v>
                </c:pt>
                <c:pt idx="61">
                  <c:v>0.74652777777777779</c:v>
                </c:pt>
                <c:pt idx="62">
                  <c:v>0.75347222222222221</c:v>
                </c:pt>
                <c:pt idx="63">
                  <c:v>0.75902777777777775</c:v>
                </c:pt>
              </c:numCache>
            </c:numRef>
          </c:xVal>
          <c:yVal>
            <c:numRef>
              <c:f>'Bus Sheet (2)'!$R$2:$R$37</c:f>
              <c:numCache>
                <c:formatCode>h:mm</c:formatCode>
                <c:ptCount val="36"/>
                <c:pt idx="0">
                  <c:v>2.916666666666673E-2</c:v>
                </c:pt>
                <c:pt idx="1">
                  <c:v>2.9861111111111116E-2</c:v>
                </c:pt>
                <c:pt idx="2">
                  <c:v>2.5694444444444409E-2</c:v>
                </c:pt>
                <c:pt idx="3">
                  <c:v>2.2222222222222199E-2</c:v>
                </c:pt>
                <c:pt idx="4">
                  <c:v>3.0555555555555503E-2</c:v>
                </c:pt>
                <c:pt idx="5">
                  <c:v>2.6875E-2</c:v>
                </c:pt>
                <c:pt idx="6">
                  <c:v>0.02</c:v>
                </c:pt>
                <c:pt idx="7">
                  <c:v>2.6875E-2</c:v>
                </c:pt>
                <c:pt idx="8">
                  <c:v>2.3125E-2</c:v>
                </c:pt>
                <c:pt idx="9">
                  <c:v>2.6249999999999999E-2</c:v>
                </c:pt>
                <c:pt idx="10">
                  <c:v>2.6249999999999999E-2</c:v>
                </c:pt>
                <c:pt idx="11">
                  <c:v>2.1874999999999999E-2</c:v>
                </c:pt>
                <c:pt idx="12">
                  <c:v>2.6875E-2</c:v>
                </c:pt>
                <c:pt idx="13">
                  <c:v>2.3125E-2</c:v>
                </c:pt>
                <c:pt idx="14">
                  <c:v>2.6249999999999999E-2</c:v>
                </c:pt>
                <c:pt idx="15">
                  <c:v>2.2499999999999999E-2</c:v>
                </c:pt>
                <c:pt idx="16">
                  <c:v>2.6875E-2</c:v>
                </c:pt>
                <c:pt idx="17">
                  <c:v>2.75E-2</c:v>
                </c:pt>
                <c:pt idx="18">
                  <c:v>2.75E-2</c:v>
                </c:pt>
                <c:pt idx="19">
                  <c:v>2.5000000000000001E-2</c:v>
                </c:pt>
                <c:pt idx="20">
                  <c:v>3.125E-2</c:v>
                </c:pt>
                <c:pt idx="21">
                  <c:v>0.02</c:v>
                </c:pt>
                <c:pt idx="22">
                  <c:v>2.5624999999999998E-2</c:v>
                </c:pt>
                <c:pt idx="23">
                  <c:v>2.5000000000000001E-2</c:v>
                </c:pt>
                <c:pt idx="24">
                  <c:v>2.75E-2</c:v>
                </c:pt>
                <c:pt idx="25">
                  <c:v>2.4375000000000001E-2</c:v>
                </c:pt>
                <c:pt idx="26">
                  <c:v>2.4375000000000001E-2</c:v>
                </c:pt>
                <c:pt idx="27">
                  <c:v>1.5625E-2</c:v>
                </c:pt>
                <c:pt idx="28">
                  <c:v>0.02</c:v>
                </c:pt>
                <c:pt idx="29">
                  <c:v>2.5624999999999998E-2</c:v>
                </c:pt>
                <c:pt idx="30">
                  <c:v>2.9374999999999998E-2</c:v>
                </c:pt>
                <c:pt idx="31">
                  <c:v>2.5624999999999998E-2</c:v>
                </c:pt>
                <c:pt idx="32">
                  <c:v>2.6875E-2</c:v>
                </c:pt>
                <c:pt idx="33">
                  <c:v>2.6249999999999999E-2</c:v>
                </c:pt>
                <c:pt idx="34">
                  <c:v>2.75E-2</c:v>
                </c:pt>
                <c:pt idx="35">
                  <c:v>2.5624999999999998E-2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46B-284C-89A7-76C6B8671D44}"/>
            </c:ext>
          </c:extLst>
        </c:ser>
        <c:ser>
          <c:idx val="1"/>
          <c:order val="1"/>
          <c:tx>
            <c:v>Afternoon</c:v>
          </c:tx>
          <c:spPr>
            <a:ln w="25400" cap="rnd">
              <a:noFill/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</c:spPr>
            <c:trendlineType val="linear"/>
            <c:dispRSqr val="1"/>
            <c:dispEq val="0"/>
            <c:trendlineLbl>
              <c:numFmt formatCode="General" sourceLinked="0"/>
              <c:spPr>
                <a:noFill/>
                <a:ln>
                  <a:noFill/>
                  <a:prstDash val="solid"/>
                </a:ln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'Bus Sheet (2)'!$Q$38:$Q$65</c:f>
              <c:numCache>
                <c:formatCode>h:mm</c:formatCode>
                <c:ptCount val="28"/>
                <c:pt idx="0">
                  <c:v>0.62222222222222223</c:v>
                </c:pt>
                <c:pt idx="1">
                  <c:v>0.625</c:v>
                </c:pt>
                <c:pt idx="2">
                  <c:v>0.63124999999999998</c:v>
                </c:pt>
                <c:pt idx="3">
                  <c:v>0.63611111111111107</c:v>
                </c:pt>
                <c:pt idx="4">
                  <c:v>0.64236111111111116</c:v>
                </c:pt>
                <c:pt idx="5">
                  <c:v>0.64583333333333337</c:v>
                </c:pt>
                <c:pt idx="6">
                  <c:v>0.65625</c:v>
                </c:pt>
                <c:pt idx="7">
                  <c:v>0.65694444444444444</c:v>
                </c:pt>
                <c:pt idx="8">
                  <c:v>0.66111111111111109</c:v>
                </c:pt>
                <c:pt idx="9">
                  <c:v>0.66388888888888886</c:v>
                </c:pt>
                <c:pt idx="10">
                  <c:v>0.67083333333333328</c:v>
                </c:pt>
                <c:pt idx="11">
                  <c:v>0.67708333333333337</c:v>
                </c:pt>
                <c:pt idx="12">
                  <c:v>0.68263888888888891</c:v>
                </c:pt>
                <c:pt idx="13">
                  <c:v>0.68888888888888888</c:v>
                </c:pt>
                <c:pt idx="14">
                  <c:v>0.69374999999999998</c:v>
                </c:pt>
                <c:pt idx="15">
                  <c:v>0.6958333333333333</c:v>
                </c:pt>
                <c:pt idx="16">
                  <c:v>0.70277777777777772</c:v>
                </c:pt>
                <c:pt idx="17">
                  <c:v>0.70625000000000004</c:v>
                </c:pt>
                <c:pt idx="18">
                  <c:v>0.71388888888888891</c:v>
                </c:pt>
                <c:pt idx="19">
                  <c:v>0.71666666666666667</c:v>
                </c:pt>
                <c:pt idx="20">
                  <c:v>0.72499999999999998</c:v>
                </c:pt>
                <c:pt idx="21">
                  <c:v>0.72916666666666663</c:v>
                </c:pt>
                <c:pt idx="22">
                  <c:v>0.73263888888888884</c:v>
                </c:pt>
                <c:pt idx="23">
                  <c:v>0.73750000000000004</c:v>
                </c:pt>
                <c:pt idx="24">
                  <c:v>0.74513888888888891</c:v>
                </c:pt>
                <c:pt idx="25">
                  <c:v>0.74652777777777779</c:v>
                </c:pt>
                <c:pt idx="26">
                  <c:v>0.75347222222222221</c:v>
                </c:pt>
                <c:pt idx="27">
                  <c:v>0.75902777777777775</c:v>
                </c:pt>
              </c:numCache>
            </c:numRef>
          </c:xVal>
          <c:yVal>
            <c:numRef>
              <c:f>'Bus Sheet (2)'!$R$38:$R$65</c:f>
              <c:numCache>
                <c:formatCode>h:mm</c:formatCode>
                <c:ptCount val="28"/>
                <c:pt idx="0">
                  <c:v>2.5624999999999998E-2</c:v>
                </c:pt>
                <c:pt idx="1">
                  <c:v>2.4375000000000001E-2</c:v>
                </c:pt>
                <c:pt idx="2">
                  <c:v>2.5000000000000001E-2</c:v>
                </c:pt>
                <c:pt idx="3">
                  <c:v>2.5000000000000001E-2</c:v>
                </c:pt>
                <c:pt idx="4">
                  <c:v>2.5624999999999998E-2</c:v>
                </c:pt>
                <c:pt idx="5">
                  <c:v>2.2499999999999999E-2</c:v>
                </c:pt>
                <c:pt idx="6">
                  <c:v>2.5000000000000001E-2</c:v>
                </c:pt>
                <c:pt idx="7">
                  <c:v>3.1875000000000001E-2</c:v>
                </c:pt>
                <c:pt idx="8">
                  <c:v>2.5000000000000001E-2</c:v>
                </c:pt>
                <c:pt idx="9">
                  <c:v>2.4375000000000001E-2</c:v>
                </c:pt>
                <c:pt idx="10">
                  <c:v>2.8472222222222121E-2</c:v>
                </c:pt>
                <c:pt idx="11">
                  <c:v>2.9166666666666674E-2</c:v>
                </c:pt>
                <c:pt idx="12">
                  <c:v>2.8472222222222232E-2</c:v>
                </c:pt>
                <c:pt idx="13">
                  <c:v>3.125E-2</c:v>
                </c:pt>
                <c:pt idx="14">
                  <c:v>3.3333333333333326E-2</c:v>
                </c:pt>
                <c:pt idx="15">
                  <c:v>2.8472222222222232E-2</c:v>
                </c:pt>
                <c:pt idx="16">
                  <c:v>3.125E-2</c:v>
                </c:pt>
                <c:pt idx="17">
                  <c:v>2.9166666666666674E-2</c:v>
                </c:pt>
                <c:pt idx="18">
                  <c:v>3.2638888888888884E-2</c:v>
                </c:pt>
                <c:pt idx="19">
                  <c:v>2.9861111111111116E-2</c:v>
                </c:pt>
                <c:pt idx="20">
                  <c:v>3.2638888888888884E-2</c:v>
                </c:pt>
                <c:pt idx="21">
                  <c:v>3.1944444444444442E-2</c:v>
                </c:pt>
                <c:pt idx="22">
                  <c:v>3.0555555555555558E-2</c:v>
                </c:pt>
                <c:pt idx="23">
                  <c:v>2.9861111111111116E-2</c:v>
                </c:pt>
                <c:pt idx="24">
                  <c:v>3.125E-2</c:v>
                </c:pt>
                <c:pt idx="25">
                  <c:v>2.9166666666666674E-2</c:v>
                </c:pt>
                <c:pt idx="26">
                  <c:v>3.125E-2</c:v>
                </c:pt>
                <c:pt idx="27">
                  <c:v>3.125E-2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46B-284C-89A7-76C6B8671D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176224"/>
        <c:axId val="1683179296"/>
      </c:scatterChart>
      <c:valAx>
        <c:axId val="487176224"/>
        <c:scaling>
          <c:orientation val="minMax"/>
          <c:min val="0.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3179296"/>
        <c:crosses val="autoZero"/>
        <c:crossBetween val="midCat"/>
      </c:valAx>
      <c:valAx>
        <c:axId val="1683179296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7176224"/>
        <c:crosses val="autoZero"/>
        <c:crossBetween val="midCat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8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0.xml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6" Type="http://schemas.openxmlformats.org/officeDocument/2006/relationships/chart" Target="../charts/chart13.xml"/><Relationship Id="rId5" Type="http://schemas.openxmlformats.org/officeDocument/2006/relationships/chart" Target="../charts/chart12.xml"/><Relationship Id="rId4" Type="http://schemas.openxmlformats.org/officeDocument/2006/relationships/chart" Target="../charts/chart11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chart" Target="../charts/chart14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12700</xdr:colOff>
      <xdr:row>2</xdr:row>
      <xdr:rowOff>12700</xdr:rowOff>
    </xdr:from>
    <xdr:to>
      <xdr:col>12</xdr:col>
      <xdr:colOff>361950</xdr:colOff>
      <xdr:row>28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30</xdr:row>
      <xdr:rowOff>152400</xdr:rowOff>
    </xdr:from>
    <xdr:to>
      <xdr:col>3</xdr:col>
      <xdr:colOff>279400</xdr:colOff>
      <xdr:row>42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00" y="6248400"/>
          <a:ext cx="2743200" cy="24511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800100</xdr:colOff>
      <xdr:row>30</xdr:row>
      <xdr:rowOff>177800</xdr:rowOff>
    </xdr:from>
    <xdr:to>
      <xdr:col>12</xdr:col>
      <xdr:colOff>304800</xdr:colOff>
      <xdr:row>53</xdr:row>
      <xdr:rowOff>57163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76600" y="6273800"/>
          <a:ext cx="7772400" cy="455296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12</xdr:col>
      <xdr:colOff>444500</xdr:colOff>
      <xdr:row>44</xdr:row>
      <xdr:rowOff>76200</xdr:rowOff>
    </xdr:from>
    <xdr:to>
      <xdr:col>18</xdr:col>
      <xdr:colOff>571500</xdr:colOff>
      <xdr:row>62</xdr:row>
      <xdr:rowOff>13138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88700" y="9017000"/>
          <a:ext cx="5080000" cy="3594538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13</xdr:col>
      <xdr:colOff>228600</xdr:colOff>
      <xdr:row>0</xdr:row>
      <xdr:rowOff>114300</xdr:rowOff>
    </xdr:from>
    <xdr:to>
      <xdr:col>18</xdr:col>
      <xdr:colOff>370302</xdr:colOff>
      <xdr:row>40</xdr:row>
      <xdr:rowOff>14667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98300" y="114300"/>
          <a:ext cx="4269202" cy="802836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18</xdr:col>
      <xdr:colOff>482600</xdr:colOff>
      <xdr:row>0</xdr:row>
      <xdr:rowOff>127000</xdr:rowOff>
    </xdr:from>
    <xdr:to>
      <xdr:col>25</xdr:col>
      <xdr:colOff>354623</xdr:colOff>
      <xdr:row>50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179800" y="127000"/>
          <a:ext cx="5650523" cy="100584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228600</xdr:colOff>
      <xdr:row>0</xdr:row>
      <xdr:rowOff>63500</xdr:rowOff>
    </xdr:from>
    <xdr:to>
      <xdr:col>15</xdr:col>
      <xdr:colOff>127000</xdr:colOff>
      <xdr:row>7</xdr:row>
      <xdr:rowOff>165100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228600</xdr:colOff>
      <xdr:row>0</xdr:row>
      <xdr:rowOff>63500</xdr:rowOff>
    </xdr:from>
    <xdr:to>
      <xdr:col>15</xdr:col>
      <xdr:colOff>127000</xdr:colOff>
      <xdr:row>7</xdr:row>
      <xdr:rowOff>165100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1651000</xdr:colOff>
      <xdr:row>22</xdr:row>
      <xdr:rowOff>76200</xdr:rowOff>
    </xdr:from>
    <xdr:to>
      <xdr:col>17</xdr:col>
      <xdr:colOff>304800</xdr:colOff>
      <xdr:row>47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5F0B657-8023-7448-B654-172046B4CD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12</xdr:row>
      <xdr:rowOff>0</xdr:rowOff>
    </xdr:from>
    <xdr:to>
      <xdr:col>19</xdr:col>
      <xdr:colOff>342900</xdr:colOff>
      <xdr:row>42</xdr:row>
      <xdr:rowOff>2883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92FFD0-C31E-521A-35A0-93EFD144D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0" y="2438400"/>
          <a:ext cx="7772400" cy="60988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9</xdr:col>
      <xdr:colOff>342900</xdr:colOff>
      <xdr:row>43</xdr:row>
      <xdr:rowOff>5634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E347395-938F-A9E8-223E-CB38BA492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438400"/>
          <a:ext cx="7772400" cy="63048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11</xdr:row>
      <xdr:rowOff>152400</xdr:rowOff>
    </xdr:from>
    <xdr:to>
      <xdr:col>8</xdr:col>
      <xdr:colOff>747072</xdr:colOff>
      <xdr:row>14</xdr:row>
      <xdr:rowOff>192218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" y="2387600"/>
          <a:ext cx="7772400" cy="649418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0</xdr:col>
      <xdr:colOff>955040</xdr:colOff>
      <xdr:row>18</xdr:row>
      <xdr:rowOff>132080</xdr:rowOff>
    </xdr:from>
    <xdr:to>
      <xdr:col>9</xdr:col>
      <xdr:colOff>288178</xdr:colOff>
      <xdr:row>39</xdr:row>
      <xdr:rowOff>135487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5040" y="3789680"/>
          <a:ext cx="7749540" cy="427060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10</xdr:col>
      <xdr:colOff>745066</xdr:colOff>
      <xdr:row>18</xdr:row>
      <xdr:rowOff>122767</xdr:rowOff>
    </xdr:from>
    <xdr:to>
      <xdr:col>20</xdr:col>
      <xdr:colOff>258234</xdr:colOff>
      <xdr:row>40</xdr:row>
      <xdr:rowOff>18944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77866" y="3780367"/>
          <a:ext cx="7810500" cy="436657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11</xdr:col>
      <xdr:colOff>0</xdr:colOff>
      <xdr:row>53</xdr:row>
      <xdr:rowOff>0</xdr:rowOff>
    </xdr:from>
    <xdr:to>
      <xdr:col>15</xdr:col>
      <xdr:colOff>664857</xdr:colOff>
      <xdr:row>74</xdr:row>
      <xdr:rowOff>119648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13070" y="10627895"/>
          <a:ext cx="3962400" cy="43307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50</xdr:col>
      <xdr:colOff>412280</xdr:colOff>
      <xdr:row>54</xdr:row>
      <xdr:rowOff>63936</xdr:rowOff>
    </xdr:from>
    <xdr:to>
      <xdr:col>59</xdr:col>
      <xdr:colOff>200613</xdr:colOff>
      <xdr:row>73</xdr:row>
      <xdr:rowOff>81636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37</xdr:col>
      <xdr:colOff>373501</xdr:colOff>
      <xdr:row>54</xdr:row>
      <xdr:rowOff>65852</xdr:rowOff>
    </xdr:from>
    <xdr:to>
      <xdr:col>50</xdr:col>
      <xdr:colOff>221101</xdr:colOff>
      <xdr:row>73</xdr:row>
      <xdr:rowOff>218677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37</xdr:col>
      <xdr:colOff>660400</xdr:colOff>
      <xdr:row>14</xdr:row>
      <xdr:rowOff>76200</xdr:rowOff>
    </xdr:from>
    <xdr:to>
      <xdr:col>47</xdr:col>
      <xdr:colOff>279400</xdr:colOff>
      <xdr:row>27</xdr:row>
      <xdr:rowOff>12700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47</xdr:col>
      <xdr:colOff>449060</xdr:colOff>
      <xdr:row>14</xdr:row>
      <xdr:rowOff>42100</xdr:rowOff>
    </xdr:from>
    <xdr:to>
      <xdr:col>53</xdr:col>
      <xdr:colOff>68061</xdr:colOff>
      <xdr:row>26</xdr:row>
      <xdr:rowOff>196114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51</xdr:col>
      <xdr:colOff>355600</xdr:colOff>
      <xdr:row>0</xdr:row>
      <xdr:rowOff>107950</xdr:rowOff>
    </xdr:from>
    <xdr:to>
      <xdr:col>56</xdr:col>
      <xdr:colOff>800100</xdr:colOff>
      <xdr:row>13</xdr:row>
      <xdr:rowOff>57150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57</xdr:col>
      <xdr:colOff>101600</xdr:colOff>
      <xdr:row>0</xdr:row>
      <xdr:rowOff>127000</xdr:rowOff>
    </xdr:from>
    <xdr:to>
      <xdr:col>62</xdr:col>
      <xdr:colOff>546100</xdr:colOff>
      <xdr:row>13</xdr:row>
      <xdr:rowOff>76200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52</xdr:col>
      <xdr:colOff>412280</xdr:colOff>
      <xdr:row>54</xdr:row>
      <xdr:rowOff>63936</xdr:rowOff>
    </xdr:from>
    <xdr:to>
      <xdr:col>61</xdr:col>
      <xdr:colOff>200613</xdr:colOff>
      <xdr:row>73</xdr:row>
      <xdr:rowOff>81636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39</xdr:col>
      <xdr:colOff>373501</xdr:colOff>
      <xdr:row>54</xdr:row>
      <xdr:rowOff>65852</xdr:rowOff>
    </xdr:from>
    <xdr:to>
      <xdr:col>52</xdr:col>
      <xdr:colOff>221101</xdr:colOff>
      <xdr:row>73</xdr:row>
      <xdr:rowOff>218677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39</xdr:col>
      <xdr:colOff>660400</xdr:colOff>
      <xdr:row>14</xdr:row>
      <xdr:rowOff>76200</xdr:rowOff>
    </xdr:from>
    <xdr:to>
      <xdr:col>49</xdr:col>
      <xdr:colOff>279400</xdr:colOff>
      <xdr:row>27</xdr:row>
      <xdr:rowOff>12700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49</xdr:col>
      <xdr:colOff>449060</xdr:colOff>
      <xdr:row>14</xdr:row>
      <xdr:rowOff>42100</xdr:rowOff>
    </xdr:from>
    <xdr:to>
      <xdr:col>55</xdr:col>
      <xdr:colOff>68061</xdr:colOff>
      <xdr:row>26</xdr:row>
      <xdr:rowOff>196114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53</xdr:col>
      <xdr:colOff>355600</xdr:colOff>
      <xdr:row>0</xdr:row>
      <xdr:rowOff>107950</xdr:rowOff>
    </xdr:from>
    <xdr:to>
      <xdr:col>58</xdr:col>
      <xdr:colOff>800100</xdr:colOff>
      <xdr:row>13</xdr:row>
      <xdr:rowOff>57150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59</xdr:col>
      <xdr:colOff>101600</xdr:colOff>
      <xdr:row>0</xdr:row>
      <xdr:rowOff>127000</xdr:rowOff>
    </xdr:from>
    <xdr:to>
      <xdr:col>64</xdr:col>
      <xdr:colOff>546100</xdr:colOff>
      <xdr:row>13</xdr:row>
      <xdr:rowOff>76200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42</xdr:row>
      <xdr:rowOff>38100</xdr:rowOff>
    </xdr:from>
    <xdr:to>
      <xdr:col>10</xdr:col>
      <xdr:colOff>243283</xdr:colOff>
      <xdr:row>73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500"/>
          <a:ext cx="9641283" cy="62738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10</xdr:col>
      <xdr:colOff>596900</xdr:colOff>
      <xdr:row>21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0" y="2844800"/>
          <a:ext cx="3898900" cy="14351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676863</xdr:colOff>
      <xdr:row>29</xdr:row>
      <xdr:rowOff>154046</xdr:rowOff>
    </xdr:from>
    <xdr:to>
      <xdr:col>19</xdr:col>
      <xdr:colOff>295863</xdr:colOff>
      <xdr:row>43</xdr:row>
      <xdr:rowOff>43038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704991</xdr:colOff>
      <xdr:row>50</xdr:row>
      <xdr:rowOff>177518</xdr:rowOff>
    </xdr:from>
    <xdr:to>
      <xdr:col>6</xdr:col>
      <xdr:colOff>798407</xdr:colOff>
      <xdr:row>71</xdr:row>
      <xdr:rowOff>101970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4991" y="10347678"/>
          <a:ext cx="7784536" cy="4191652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238760</xdr:colOff>
      <xdr:row>3</xdr:row>
      <xdr:rowOff>152400</xdr:rowOff>
    </xdr:from>
    <xdr:to>
      <xdr:col>13</xdr:col>
      <xdr:colOff>614680</xdr:colOff>
      <xdr:row>17</xdr:row>
      <xdr:rowOff>50800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57150</xdr:colOff>
      <xdr:row>20</xdr:row>
      <xdr:rowOff>146050</xdr:rowOff>
    </xdr:from>
    <xdr:to>
      <xdr:col>19</xdr:col>
      <xdr:colOff>501650</xdr:colOff>
      <xdr:row>34</xdr:row>
      <xdr:rowOff>44450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133350</xdr:colOff>
      <xdr:row>17</xdr:row>
      <xdr:rowOff>88900</xdr:rowOff>
    </xdr:from>
    <xdr:to>
      <xdr:col>6</xdr:col>
      <xdr:colOff>774700</xdr:colOff>
      <xdr:row>39</xdr:row>
      <xdr:rowOff>101600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9" displayName="Table9" ref="A42:J72" totalsRowShown="0">
  <autoFilter ref="A42:J72" xr:uid="{00000000-0009-0000-0100-000001000000}"/>
  <sortState xmlns:xlrd2="http://schemas.microsoft.com/office/spreadsheetml/2017/richdata2" ref="A43:G72">
    <sortCondition descending="1" ref="G42:G72"/>
  </sortState>
  <tableColumns count="10">
    <tableColumn id="1" xr3:uid="{00000000-0010-0000-0000-000001000000}" name="Floor Number"/>
    <tableColumn id="2" xr3:uid="{00000000-0010-0000-0000-000002000000}" name="Seats"/>
    <tableColumn id="3" xr3:uid="{00000000-0010-0000-0000-000003000000}" name="Floor Area"/>
    <tableColumn id="4" xr3:uid="{00000000-0010-0000-0000-000004000000}" name="Height">
      <calculatedColumnFormula>$D$45</calculatedColumnFormula>
    </tableColumn>
    <tableColumn id="5" xr3:uid="{00000000-0010-0000-0000-000005000000}" name="length">
      <calculatedColumnFormula>SQRT(C43)</calculatedColumnFormula>
    </tableColumn>
    <tableColumn id="6" xr3:uid="{00000000-0010-0000-0000-000006000000}" name="surface area">
      <calculatedColumnFormula>2*C43+4*D43*E43</calculatedColumnFormula>
    </tableColumn>
    <tableColumn id="7" xr3:uid="{00000000-0010-0000-0000-000007000000}" name="SA/Seats">
      <calculatedColumnFormula>F43/B43</calculatedColumnFormula>
    </tableColumn>
    <tableColumn id="8" xr3:uid="{00000000-0010-0000-0000-000008000000}" name="Door #"/>
    <tableColumn id="9" xr3:uid="{00000000-0010-0000-0000-000009000000}" name="Window Width"/>
    <tableColumn id="10" xr3:uid="{00000000-0010-0000-0000-00000A000000}" name="People to keep at 0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00000000-000C-0000-FFFF-FFFF09000000}" name="Table48" displayName="Table48" ref="N1:Y85" totalsRowShown="0" headerRowDxfId="33" headerRowBorderDxfId="32" tableBorderDxfId="31">
  <autoFilter ref="N1:Y85" xr:uid="{00000000-0009-0000-0100-00000A000000}"/>
  <sortState xmlns:xlrd2="http://schemas.microsoft.com/office/spreadsheetml/2017/richdata2" ref="N2:R85">
    <sortCondition ref="Q1:Q85"/>
  </sortState>
  <tableColumns count="12">
    <tableColumn id="1" xr3:uid="{00000000-0010-0000-0900-000001000000}" name="Registration Plate" dataDxfId="30"/>
    <tableColumn id="2" xr3:uid="{00000000-0010-0000-0900-000002000000}" name="Bus Route" dataDxfId="29"/>
    <tableColumn id="3" xr3:uid="{00000000-0010-0000-0900-000003000000}" name="Time Left"/>
    <tableColumn id="4" xr3:uid="{00000000-0010-0000-0900-000004000000}" name="Time Arrived" dataDxfId="28"/>
    <tableColumn id="5" xr3:uid="{00000000-0010-0000-0900-000005000000}" name="Total Time" dataDxfId="27">
      <calculatedColumnFormula>Q2-P2</calculatedColumnFormula>
    </tableColumn>
    <tableColumn id="6" xr3:uid="{00000000-0010-0000-0900-000006000000}" name="Lecture End Time"/>
    <tableColumn id="8" xr3:uid="{00000000-0010-0000-0900-000008000000}" name="Arrival Rank" dataDxfId="26">
      <calculatedColumnFormula>_xlfn.RANK.AVG($Q2,$Q$2:$Q$65,0)</calculatedColumnFormula>
    </tableColumn>
    <tableColumn id="9" xr3:uid="{00000000-0010-0000-0900-000009000000}" name="Total Time Rank" dataDxfId="25">
      <calculatedColumnFormula>_xlfn.RANK.AVG(R2,$R$2:$R$65,0)</calculatedColumnFormula>
    </tableColumn>
    <tableColumn id="10" xr3:uid="{00000000-0010-0000-0900-00000A000000}" name="Column1" dataDxfId="24">
      <calculatedColumnFormula>_xlfn.RANK.AVG($Q2,$Q$2:$Q$37,0)</calculatedColumnFormula>
    </tableColumn>
    <tableColumn id="11" xr3:uid="{00000000-0010-0000-0900-00000B000000}" name="Column2" dataDxfId="23">
      <calculatedColumnFormula>_xlfn.RANK.AVG($Q2,$Q$2:$Q$37,0)</calculatedColumnFormula>
    </tableColumn>
    <tableColumn id="7" xr3:uid="{00000000-0010-0000-0900-000007000000}" name="Column3" dataDxfId="22">
      <calculatedColumnFormula>Table48[[#This Row],[Total Time]]*1.1</calculatedColumnFormula>
    </tableColumn>
    <tableColumn id="12" xr3:uid="{00000000-0010-0000-0900-00000C000000}" name="Column4" dataDxfId="21">
      <calculatedColumnFormula>Table48[[#This Row],[Total Time]]*0.9</calculatedColumnFormula>
    </tableColumn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00000000-000C-0000-FFFF-FFFF0A000000}" name="Table59" displayName="Table59" ref="AA1:AL79" totalsRowShown="0" headerRowDxfId="20" headerRowBorderDxfId="19" tableBorderDxfId="18">
  <autoFilter ref="AA1:AL79" xr:uid="{00000000-0009-0000-0100-00000B000000}"/>
  <sortState xmlns:xlrd2="http://schemas.microsoft.com/office/spreadsheetml/2017/richdata2" ref="AA2:AE79">
    <sortCondition ref="AD1:AD79"/>
  </sortState>
  <tableColumns count="12">
    <tableColumn id="1" xr3:uid="{00000000-0010-0000-0A00-000001000000}" name="Registration Plate" dataDxfId="17"/>
    <tableColumn id="2" xr3:uid="{00000000-0010-0000-0A00-000002000000}" name="Bus Route" dataDxfId="16"/>
    <tableColumn id="3" xr3:uid="{00000000-0010-0000-0A00-000003000000}" name="Time Left"/>
    <tableColumn id="4" xr3:uid="{00000000-0010-0000-0A00-000004000000}" name="Time Arrived"/>
    <tableColumn id="5" xr3:uid="{00000000-0010-0000-0A00-000005000000}" name="Total Time" dataDxfId="15">
      <calculatedColumnFormula>AD2-AC2</calculatedColumnFormula>
    </tableColumn>
    <tableColumn id="7" xr3:uid="{00000000-0010-0000-0A00-000007000000}" name="Lecture End Time" dataDxfId="14"/>
    <tableColumn id="8" xr3:uid="{00000000-0010-0000-0A00-000008000000}" name="Arrival Rank" dataDxfId="13">
      <calculatedColumnFormula>_xlfn.RANK.AVG($AD2,$AD$2:$AD$66,0)</calculatedColumnFormula>
    </tableColumn>
    <tableColumn id="9" xr3:uid="{00000000-0010-0000-0A00-000009000000}" name="Time Rank" dataDxfId="12">
      <calculatedColumnFormula>_xlfn.RANK.AVG($AE2,$AE$2:$AE$65,0)</calculatedColumnFormula>
    </tableColumn>
    <tableColumn id="6" xr3:uid="{00000000-0010-0000-0A00-000006000000}" name="Column1" dataDxfId="11"/>
    <tableColumn id="10" xr3:uid="{00000000-0010-0000-0A00-00000A000000}" name="Column2" dataDxfId="10"/>
    <tableColumn id="11" xr3:uid="{00000000-0010-0000-0A00-00000B000000}" name="Column3" dataDxfId="9">
      <calculatedColumnFormula>Table59[[#This Row],[Total Time]]*1.1</calculatedColumnFormula>
    </tableColumn>
    <tableColumn id="12" xr3:uid="{00000000-0010-0000-0A00-00000C000000}" name="Column4" dataDxfId="8">
      <calculatedColumnFormula>Table59[[#This Row],[Total Time]]*0.9</calculatedColumnFormula>
    </tableColumn>
  </tableColumns>
  <tableStyleInfo name="TableStyleMedium2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00000000-000C-0000-FFFF-FFFF0B000000}" name="Table12" displayName="Table12" ref="W5:AB38" totalsRowShown="0">
  <autoFilter ref="W5:AB38" xr:uid="{00000000-0009-0000-0100-00000C000000}"/>
  <sortState xmlns:xlrd2="http://schemas.microsoft.com/office/spreadsheetml/2017/richdata2" ref="W6:X38">
    <sortCondition ref="X5:X38"/>
  </sortState>
  <tableColumns count="6">
    <tableColumn id="1" xr3:uid="{00000000-0010-0000-0B00-000001000000}" name="Prefix"/>
    <tableColumn id="2" xr3:uid="{00000000-0010-0000-0B00-000002000000}" name="Sufix"/>
    <tableColumn id="3" xr3:uid="{00000000-0010-0000-0B00-000003000000}" name="Combine" dataDxfId="7">
      <calculatedColumnFormula>Table12[[#This Row],[Prefix]]&amp;Table12[[#This Row],[Sufix]]</calculatedColumnFormula>
    </tableColumn>
    <tableColumn id="4" xr3:uid="{00000000-0010-0000-0B00-000004000000}" name="Column1"/>
    <tableColumn id="5" xr3:uid="{00000000-0010-0000-0B00-000005000000}" name="Column2"/>
    <tableColumn id="6" xr3:uid="{00000000-0010-0000-0B00-000006000000}" name="Column3"/>
  </tableColumns>
  <tableStyleInfo name="TableStyleMedium2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CF019397-8CFC-9A47-91F5-8D987D20EFEB}" name="Table13" displayName="Table13" ref="A1:B164" totalsRowShown="0">
  <autoFilter ref="A1:B164" xr:uid="{CF019397-8CFC-9A47-91F5-8D987D20EFEB}"/>
  <sortState xmlns:xlrd2="http://schemas.microsoft.com/office/spreadsheetml/2017/richdata2" ref="A2:B164">
    <sortCondition descending="1" ref="A1:A164"/>
  </sortState>
  <tableColumns count="2">
    <tableColumn id="1" xr3:uid="{D4A105D6-6A7E-FD4A-B793-F8756088EA64}" name="Column1"/>
    <tableColumn id="2" xr3:uid="{516F6FF4-97FB-3E41-A914-63D4AD76244C}" name="Column2"/>
  </tableColumns>
  <tableStyleInfo name="TableStyleMedium2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05D65C54-8D1A-3D4B-8E36-B8607F036A36}" name="Table14" displayName="Table14" ref="H1:I30" totalsRowShown="0" headerRowDxfId="0" dataDxfId="1" headerRowBorderDxfId="5" tableBorderDxfId="6" totalsRowBorderDxfId="4">
  <autoFilter ref="H1:I30" xr:uid="{05D65C54-8D1A-3D4B-8E36-B8607F036A36}"/>
  <tableColumns count="2">
    <tableColumn id="1" xr3:uid="{D22677B7-D8C6-B741-8F0B-20272E0F9A76}" name="Room" dataDxfId="3"/>
    <tableColumn id="2" xr3:uid="{6E4CE503-888C-D647-B096-E240080D1380}" name="Capacity" dataDxfId="2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Table911" displayName="Table911" ref="A76:J106" totalsRowShown="0">
  <autoFilter ref="A76:J106" xr:uid="{00000000-0009-0000-0100-000002000000}"/>
  <sortState xmlns:xlrd2="http://schemas.microsoft.com/office/spreadsheetml/2017/richdata2" ref="A77:I106">
    <sortCondition ref="A76:A106"/>
  </sortState>
  <tableColumns count="10">
    <tableColumn id="1" xr3:uid="{00000000-0010-0000-0100-000001000000}" name="Floor Number"/>
    <tableColumn id="2" xr3:uid="{00000000-0010-0000-0100-000002000000}" name="Seats"/>
    <tableColumn id="3" xr3:uid="{00000000-0010-0000-0100-000003000000}" name="Floor Area"/>
    <tableColumn id="4" xr3:uid="{00000000-0010-0000-0100-000004000000}" name="Height">
      <calculatedColumnFormula>$D$45</calculatedColumnFormula>
    </tableColumn>
    <tableColumn id="5" xr3:uid="{00000000-0010-0000-0100-000005000000}" name="Wall "/>
    <tableColumn id="6" xr3:uid="{00000000-0010-0000-0100-000006000000}" name="Door"/>
    <tableColumn id="7" xr3:uid="{00000000-0010-0000-0100-000007000000}" name="Window"/>
    <tableColumn id="8" xr3:uid="{00000000-0010-0000-0100-000008000000}" name="Floor"/>
    <tableColumn id="9" xr3:uid="{00000000-0010-0000-0100-000009000000}" name="Roof"/>
    <tableColumn id="10" xr3:uid="{00000000-0010-0000-0100-00000A000000}" name="Total" dataDxfId="92">
      <calculatedColumnFormula>SUM(Table911[[#This Row],[Wall ]:[Roof]])</calculatedColumnFormula>
    </tableColumn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2000000}" name="Table91112" displayName="Table91112" ref="V1:AE31" totalsRowShown="0">
  <autoFilter ref="V1:AE31" xr:uid="{00000000-0009-0000-0100-000003000000}"/>
  <sortState xmlns:xlrd2="http://schemas.microsoft.com/office/spreadsheetml/2017/richdata2" ref="V2:AD31">
    <sortCondition ref="V76:V106"/>
  </sortState>
  <tableColumns count="10">
    <tableColumn id="1" xr3:uid="{00000000-0010-0000-0200-000001000000}" name="Floor Number"/>
    <tableColumn id="2" xr3:uid="{00000000-0010-0000-0200-000002000000}" name="Capacity"/>
    <tableColumn id="3" xr3:uid="{00000000-0010-0000-0200-000003000000}" name="Floor Area"/>
    <tableColumn id="4" xr3:uid="{00000000-0010-0000-0200-000004000000}" name="Height"/>
    <tableColumn id="5" xr3:uid="{00000000-0010-0000-0200-000005000000}" name="Wall "/>
    <tableColumn id="6" xr3:uid="{00000000-0010-0000-0200-000006000000}" name="Door"/>
    <tableColumn id="7" xr3:uid="{00000000-0010-0000-0200-000007000000}" name="Window"/>
    <tableColumn id="8" xr3:uid="{00000000-0010-0000-0200-000008000000}" name="Floor"/>
    <tableColumn id="9" xr3:uid="{00000000-0010-0000-0200-000009000000}" name="Roof"/>
    <tableColumn id="10" xr3:uid="{00000000-0010-0000-0200-00000A000000}" name="Total" dataDxfId="91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000000-000C-0000-FFFF-FFFF03000000}" name="Table2" displayName="Table2" ref="A1:E103" totalsRowShown="0" headerRowDxfId="90" headerRowBorderDxfId="89" tableBorderDxfId="88" totalsRowBorderDxfId="87">
  <autoFilter ref="A1:E103" xr:uid="{00000000-0009-0000-0100-000004000000}"/>
  <sortState xmlns:xlrd2="http://schemas.microsoft.com/office/spreadsheetml/2017/richdata2" ref="A2:E103">
    <sortCondition ref="B1:B103"/>
  </sortState>
  <tableColumns count="5">
    <tableColumn id="1" xr3:uid="{00000000-0010-0000-0300-000001000000}" name="Registration Plate" dataDxfId="86"/>
    <tableColumn id="2" xr3:uid="{00000000-0010-0000-0300-000002000000}" name="Bus Route" dataDxfId="85"/>
    <tableColumn id="3" xr3:uid="{00000000-0010-0000-0300-000003000000}" name="Time Left" dataDxfId="84"/>
    <tableColumn id="4" xr3:uid="{00000000-0010-0000-0300-000004000000}" name="Time Arrived" dataDxfId="83"/>
    <tableColumn id="5" xr3:uid="{00000000-0010-0000-0300-000005000000}" name="Total Time" dataDxfId="82">
      <calculatedColumnFormula>D2-C2</calculatedColumnFormula>
    </tableColumn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0000000-000C-0000-FFFF-FFFF04000000}" name="Table3" displayName="Table3" ref="H1:L73" totalsRowShown="0" headerRowDxfId="81" headerRowBorderDxfId="80">
  <autoFilter ref="H1:L73" xr:uid="{00000000-0009-0000-0100-000005000000}"/>
  <sortState xmlns:xlrd2="http://schemas.microsoft.com/office/spreadsheetml/2017/richdata2" ref="H2:L73">
    <sortCondition ref="I1:I73"/>
  </sortState>
  <tableColumns count="5">
    <tableColumn id="1" xr3:uid="{00000000-0010-0000-0400-000001000000}" name="Registration Plate" dataDxfId="79"/>
    <tableColumn id="2" xr3:uid="{00000000-0010-0000-0400-000002000000}" name="Bus Route" dataDxfId="78"/>
    <tableColumn id="3" xr3:uid="{00000000-0010-0000-0400-000003000000}" name="Time Left" dataDxfId="77"/>
    <tableColumn id="4" xr3:uid="{00000000-0010-0000-0400-000004000000}" name="Time Arrived" dataDxfId="76"/>
    <tableColumn id="5" xr3:uid="{00000000-0010-0000-0400-000005000000}" name="Total Time" dataDxfId="75">
      <calculatedColumnFormula>K2-J2</calculatedColumnFormula>
    </tableColumn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0000000-000C-0000-FFFF-FFFF05000000}" name="Table4" displayName="Table4" ref="N1:Y85" totalsRowShown="0" headerRowDxfId="74" headerRowBorderDxfId="73" tableBorderDxfId="72">
  <autoFilter ref="N1:Y85" xr:uid="{00000000-0009-0000-0100-000006000000}"/>
  <sortState xmlns:xlrd2="http://schemas.microsoft.com/office/spreadsheetml/2017/richdata2" ref="N2:R85">
    <sortCondition ref="Q1:Q85"/>
  </sortState>
  <tableColumns count="12">
    <tableColumn id="1" xr3:uid="{00000000-0010-0000-0500-000001000000}" name="Registration Plate" dataDxfId="71"/>
    <tableColumn id="2" xr3:uid="{00000000-0010-0000-0500-000002000000}" name="Bus Route" dataDxfId="70"/>
    <tableColumn id="3" xr3:uid="{00000000-0010-0000-0500-000003000000}" name="Time Left"/>
    <tableColumn id="4" xr3:uid="{00000000-0010-0000-0500-000004000000}" name="Time Arrived" dataDxfId="69"/>
    <tableColumn id="5" xr3:uid="{00000000-0010-0000-0500-000005000000}" name="Total Time" dataDxfId="68">
      <calculatedColumnFormula>Q2-P2</calculatedColumnFormula>
    </tableColumn>
    <tableColumn id="6" xr3:uid="{00000000-0010-0000-0500-000006000000}" name="Lecture End Time"/>
    <tableColumn id="8" xr3:uid="{00000000-0010-0000-0500-000008000000}" name="Arrival Rank" dataDxfId="67">
      <calculatedColumnFormula>_xlfn.RANK.AVG($Q2,$Q$2:$Q$65,0)</calculatedColumnFormula>
    </tableColumn>
    <tableColumn id="9" xr3:uid="{00000000-0010-0000-0500-000009000000}" name="Total Time Rank" dataDxfId="66">
      <calculatedColumnFormula>_xlfn.RANK.AVG(R2,$R$2:$R$65,0)</calculatedColumnFormula>
    </tableColumn>
    <tableColumn id="10" xr3:uid="{00000000-0010-0000-0500-00000A000000}" name="Column1" dataDxfId="65">
      <calculatedColumnFormula>_xlfn.RANK.AVG($Q2,$Q$2:$Q$37,0)</calculatedColumnFormula>
    </tableColumn>
    <tableColumn id="11" xr3:uid="{00000000-0010-0000-0500-00000B000000}" name="Column2" dataDxfId="64">
      <calculatedColumnFormula>_xlfn.RANK.AVG($Q2,$Q$2:$Q$37,0)</calculatedColumnFormula>
    </tableColumn>
    <tableColumn id="7" xr3:uid="{00000000-0010-0000-0500-000007000000}" name="Column3" dataDxfId="63">
      <calculatedColumnFormula>Table4[[#This Row],[Time Left]]-P1</calculatedColumnFormula>
    </tableColumn>
    <tableColumn id="12" xr3:uid="{00000000-0010-0000-0500-00000C000000}" name="Column4" dataDxfId="62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0000000-000C-0000-FFFF-FFFF06000000}" name="Table5" displayName="Table5" ref="AA1:AK79" totalsRowShown="0" headerRowDxfId="61" headerRowBorderDxfId="60" tableBorderDxfId="59">
  <autoFilter ref="AA1:AK79" xr:uid="{00000000-0009-0000-0100-000007000000}"/>
  <sortState xmlns:xlrd2="http://schemas.microsoft.com/office/spreadsheetml/2017/richdata2" ref="AA2:AE79">
    <sortCondition ref="AD1:AD79"/>
  </sortState>
  <tableColumns count="11">
    <tableColumn id="1" xr3:uid="{00000000-0010-0000-0600-000001000000}" name="Registration Plate" dataDxfId="58"/>
    <tableColumn id="2" xr3:uid="{00000000-0010-0000-0600-000002000000}" name="Bus Route" dataDxfId="57"/>
    <tableColumn id="3" xr3:uid="{00000000-0010-0000-0600-000003000000}" name="Time Left"/>
    <tableColumn id="4" xr3:uid="{00000000-0010-0000-0600-000004000000}" name="Time Arrived"/>
    <tableColumn id="5" xr3:uid="{00000000-0010-0000-0600-000005000000}" name="Total Time" dataDxfId="56">
      <calculatedColumnFormula>AD2-AC2</calculatedColumnFormula>
    </tableColumn>
    <tableColumn id="7" xr3:uid="{00000000-0010-0000-0600-000007000000}" name="Lecture End Time" dataDxfId="55"/>
    <tableColumn id="8" xr3:uid="{00000000-0010-0000-0600-000008000000}" name="Arrival Rank" dataDxfId="54">
      <calculatedColumnFormula>_xlfn.RANK.AVG($AD2,$AD$2:$AD$66,0)</calculatedColumnFormula>
    </tableColumn>
    <tableColumn id="9" xr3:uid="{00000000-0010-0000-0600-000009000000}" name="Time Rank" dataDxfId="53">
      <calculatedColumnFormula>_xlfn.RANK.AVG($AE2,$AE$2:$AE$65,0)</calculatedColumnFormula>
    </tableColumn>
    <tableColumn id="6" xr3:uid="{00000000-0010-0000-0600-000006000000}" name="Column1" dataDxfId="52"/>
    <tableColumn id="10" xr3:uid="{00000000-0010-0000-0600-00000A000000}" name="Column2" dataDxfId="51"/>
    <tableColumn id="11" xr3:uid="{00000000-0010-0000-0600-00000B000000}" name="Column3" dataDxfId="50">
      <calculatedColumnFormula>Table5[[#This Row],[Time Left]]-AC1</calculatedColumnFormula>
    </tableColumn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00000000-000C-0000-FFFF-FFFF07000000}" name="Table22" displayName="Table22" ref="A1:E103" totalsRowShown="0" headerRowDxfId="49" headerRowBorderDxfId="48" tableBorderDxfId="47" totalsRowBorderDxfId="46">
  <autoFilter ref="A1:E103" xr:uid="{00000000-0009-0000-0100-000008000000}"/>
  <sortState xmlns:xlrd2="http://schemas.microsoft.com/office/spreadsheetml/2017/richdata2" ref="A2:E103">
    <sortCondition ref="B1:B103"/>
  </sortState>
  <tableColumns count="5">
    <tableColumn id="1" xr3:uid="{00000000-0010-0000-0700-000001000000}" name="Registration Plate" dataDxfId="45"/>
    <tableColumn id="2" xr3:uid="{00000000-0010-0000-0700-000002000000}" name="Bus Route" dataDxfId="44"/>
    <tableColumn id="3" xr3:uid="{00000000-0010-0000-0700-000003000000}" name="Time Left" dataDxfId="43"/>
    <tableColumn id="4" xr3:uid="{00000000-0010-0000-0700-000004000000}" name="Time Arrived" dataDxfId="42"/>
    <tableColumn id="5" xr3:uid="{00000000-0010-0000-0700-000005000000}" name="Total Time" dataDxfId="41">
      <calculatedColumnFormula>D2-C2</calculatedColumnFormula>
    </tableColumn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00000000-000C-0000-FFFF-FFFF08000000}" name="Table37" displayName="Table37" ref="H1:L73" totalsRowShown="0" headerRowDxfId="40" headerRowBorderDxfId="39">
  <autoFilter ref="H1:L73" xr:uid="{00000000-0009-0000-0100-000009000000}"/>
  <sortState xmlns:xlrd2="http://schemas.microsoft.com/office/spreadsheetml/2017/richdata2" ref="H2:L73">
    <sortCondition ref="I1:I73"/>
  </sortState>
  <tableColumns count="5">
    <tableColumn id="1" xr3:uid="{00000000-0010-0000-0800-000001000000}" name="Registration Plate" dataDxfId="38"/>
    <tableColumn id="2" xr3:uid="{00000000-0010-0000-0800-000002000000}" name="Bus Route" dataDxfId="37"/>
    <tableColumn id="3" xr3:uid="{00000000-0010-0000-0800-000003000000}" name="Time Left" dataDxfId="36"/>
    <tableColumn id="4" xr3:uid="{00000000-0010-0000-0800-000004000000}" name="Time Arrived" dataDxfId="35"/>
    <tableColumn id="5" xr3:uid="{00000000-0010-0000-0800-000005000000}" name="Total Time" dataDxfId="34">
      <calculatedColumnFormula>K2-J2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bath.ac.uk/campaigns/undergraduate-courses-in-the-school-of-management/" TargetMode="External"/><Relationship Id="rId2" Type="http://schemas.openxmlformats.org/officeDocument/2006/relationships/hyperlink" Target="https://www.bath.ac.uk/courses/undergraduate/faculty-of-humanities-social-sciences-undergraduate-courses/" TargetMode="External"/><Relationship Id="rId1" Type="http://schemas.openxmlformats.org/officeDocument/2006/relationships/hyperlink" Target="https://www.bath.ac.uk/courses/undergraduate/faculty-of-engineering-design-undergraduate-courses/" TargetMode="External"/><Relationship Id="rId5" Type="http://schemas.openxmlformats.org/officeDocument/2006/relationships/drawing" Target="../drawings/drawing11.xml"/><Relationship Id="rId4" Type="http://schemas.openxmlformats.org/officeDocument/2006/relationships/hyperlink" Target="https://www.bath.ac.uk/courses/undergraduate/faculty-of-science-undergraduate-courses/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bath.ac.uk/campaigns/undergraduate-courses-in-the-school-of-management/" TargetMode="External"/><Relationship Id="rId2" Type="http://schemas.openxmlformats.org/officeDocument/2006/relationships/hyperlink" Target="https://www.bath.ac.uk/courses/undergraduate/faculty-of-humanities-social-sciences-undergraduate-courses/" TargetMode="External"/><Relationship Id="rId1" Type="http://schemas.openxmlformats.org/officeDocument/2006/relationships/hyperlink" Target="https://www.bath.ac.uk/courses/undergraduate/faculty-of-engineering-design-undergraduate-courses/" TargetMode="External"/><Relationship Id="rId5" Type="http://schemas.openxmlformats.org/officeDocument/2006/relationships/drawing" Target="../drawings/drawing12.xml"/><Relationship Id="rId4" Type="http://schemas.openxmlformats.org/officeDocument/2006/relationships/hyperlink" Target="https://www.bath.ac.uk/courses/undergraduate/faculty-of-science-undergraduate-courses/" TargetMode="Externa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4.xml"/><Relationship Id="rId2" Type="http://schemas.openxmlformats.org/officeDocument/2006/relationships/table" Target="../tables/table13.xml"/><Relationship Id="rId1" Type="http://schemas.openxmlformats.org/officeDocument/2006/relationships/table" Target="../tables/table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https://www.bathnes.gov.uk/publisher/docs/ABBEC2F2436829D6C08A852F40EF407B/Document-ABBEC2F2436829D6C08A852F40EF407B.pdf" TargetMode="External"/><Relationship Id="rId1" Type="http://schemas.openxmlformats.org/officeDocument/2006/relationships/hyperlink" Target="https://www.bathnes.gov.uk/publisher/docs/ABBEC2F2436829D6C08A852F40EF407B/Document-ABBEC2F2436829D6C08A852F40EF407B.pdf" TargetMode="External"/><Relationship Id="rId6" Type="http://schemas.openxmlformats.org/officeDocument/2006/relationships/table" Target="../tables/table3.xml"/><Relationship Id="rId5" Type="http://schemas.openxmlformats.org/officeDocument/2006/relationships/table" Target="../tables/table2.xml"/><Relationship Id="rId4" Type="http://schemas.openxmlformats.org/officeDocument/2006/relationships/table" Target="../tables/table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table" Target="../tables/table4.xml"/><Relationship Id="rId1" Type="http://schemas.openxmlformats.org/officeDocument/2006/relationships/drawing" Target="../drawings/drawing3.xml"/><Relationship Id="rId5" Type="http://schemas.openxmlformats.org/officeDocument/2006/relationships/table" Target="../tables/table7.xml"/><Relationship Id="rId4" Type="http://schemas.openxmlformats.org/officeDocument/2006/relationships/table" Target="../tables/table6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9.xml"/><Relationship Id="rId2" Type="http://schemas.openxmlformats.org/officeDocument/2006/relationships/table" Target="../tables/table8.xml"/><Relationship Id="rId1" Type="http://schemas.openxmlformats.org/officeDocument/2006/relationships/drawing" Target="../drawings/drawing4.xml"/><Relationship Id="rId5" Type="http://schemas.openxmlformats.org/officeDocument/2006/relationships/table" Target="../tables/table11.xml"/><Relationship Id="rId4" Type="http://schemas.openxmlformats.org/officeDocument/2006/relationships/table" Target="../tables/table1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C14"/>
  <sheetViews>
    <sheetView workbookViewId="0">
      <selection activeCell="O21" sqref="O21"/>
    </sheetView>
  </sheetViews>
  <sheetFormatPr baseColWidth="10" defaultRowHeight="16"/>
  <cols>
    <col min="2" max="2" width="34.33203125" bestFit="1" customWidth="1"/>
    <col min="3" max="3" width="17.5" bestFit="1" customWidth="1"/>
  </cols>
  <sheetData>
    <row r="1" spans="1:3">
      <c r="A1" t="s">
        <v>0</v>
      </c>
      <c r="C1" t="s">
        <v>1</v>
      </c>
    </row>
    <row r="2" spans="1:3">
      <c r="A2" t="s">
        <v>2</v>
      </c>
      <c r="B2" t="s">
        <v>3</v>
      </c>
      <c r="C2">
        <v>10</v>
      </c>
    </row>
    <row r="3" spans="1:3">
      <c r="B3" t="s">
        <v>4</v>
      </c>
      <c r="C3">
        <v>0.1</v>
      </c>
    </row>
    <row r="4" spans="1:3">
      <c r="B4" t="s">
        <v>5</v>
      </c>
      <c r="C4">
        <v>0.1</v>
      </c>
    </row>
    <row r="5" spans="1:3">
      <c r="A5" t="s">
        <v>6</v>
      </c>
      <c r="B5" t="s">
        <v>7</v>
      </c>
      <c r="C5">
        <v>5</v>
      </c>
    </row>
    <row r="6" spans="1:3">
      <c r="A6" t="s">
        <v>8</v>
      </c>
      <c r="B6" t="s">
        <v>9</v>
      </c>
      <c r="C6">
        <v>39</v>
      </c>
    </row>
    <row r="7" spans="1:3">
      <c r="B7" t="s">
        <v>10</v>
      </c>
      <c r="C7">
        <v>12</v>
      </c>
    </row>
    <row r="8" spans="1:3">
      <c r="B8" t="s">
        <v>11</v>
      </c>
      <c r="C8">
        <v>4</v>
      </c>
    </row>
    <row r="9" spans="1:3">
      <c r="B9" t="s">
        <v>12</v>
      </c>
      <c r="C9">
        <v>0</v>
      </c>
    </row>
    <row r="10" spans="1:3">
      <c r="B10" t="s">
        <v>13</v>
      </c>
      <c r="C10">
        <v>0.1</v>
      </c>
    </row>
    <row r="11" spans="1:3">
      <c r="B11" t="s">
        <v>14</v>
      </c>
      <c r="C11">
        <v>0.1</v>
      </c>
    </row>
    <row r="12" spans="1:3">
      <c r="B12" t="s">
        <v>15</v>
      </c>
      <c r="C12">
        <v>26</v>
      </c>
    </row>
    <row r="13" spans="1:3">
      <c r="B13" t="s">
        <v>16</v>
      </c>
      <c r="C13">
        <v>0</v>
      </c>
    </row>
    <row r="14" spans="1:3">
      <c r="B14" t="s">
        <v>17</v>
      </c>
      <c r="C14">
        <v>4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V52"/>
  <sheetViews>
    <sheetView topLeftCell="I1" workbookViewId="0">
      <selection activeCell="R40" sqref="R40"/>
    </sheetView>
  </sheetViews>
  <sheetFormatPr baseColWidth="10" defaultRowHeight="16"/>
  <cols>
    <col min="2" max="2" width="9.5" bestFit="1" customWidth="1"/>
    <col min="3" max="3" width="13.6640625" bestFit="1" customWidth="1"/>
  </cols>
  <sheetData>
    <row r="1" spans="1:22">
      <c r="B1" s="88" t="s">
        <v>64</v>
      </c>
      <c r="C1" s="89"/>
      <c r="D1" s="89"/>
      <c r="E1" s="89"/>
      <c r="F1" s="89"/>
      <c r="G1" s="89"/>
    </row>
    <row r="2" spans="1:22">
      <c r="B2" s="88" t="s">
        <v>77</v>
      </c>
      <c r="C2" s="89"/>
      <c r="D2" s="89"/>
      <c r="E2" s="88" t="s">
        <v>78</v>
      </c>
      <c r="F2" s="89"/>
      <c r="G2" s="89"/>
      <c r="H2" s="88">
        <v>20</v>
      </c>
      <c r="I2" s="89"/>
      <c r="J2" s="89"/>
      <c r="K2" s="88">
        <v>22</v>
      </c>
      <c r="L2" s="89"/>
      <c r="M2" s="89"/>
    </row>
    <row r="3" spans="1:22">
      <c r="A3" s="42" t="s">
        <v>717</v>
      </c>
      <c r="B3" s="42" t="s">
        <v>727</v>
      </c>
      <c r="C3" s="42" t="s">
        <v>728</v>
      </c>
      <c r="D3" s="42" t="s">
        <v>67</v>
      </c>
      <c r="E3" s="42" t="s">
        <v>727</v>
      </c>
      <c r="F3" s="42" t="s">
        <v>728</v>
      </c>
      <c r="G3" s="42" t="s">
        <v>67</v>
      </c>
      <c r="H3" s="42" t="s">
        <v>727</v>
      </c>
      <c r="I3" s="42" t="s">
        <v>728</v>
      </c>
      <c r="J3" s="42" t="s">
        <v>67</v>
      </c>
      <c r="K3" s="42" t="s">
        <v>727</v>
      </c>
      <c r="L3" s="42" t="s">
        <v>728</v>
      </c>
      <c r="M3" s="42" t="s">
        <v>67</v>
      </c>
    </row>
    <row r="4" spans="1:22">
      <c r="A4" s="1">
        <v>0.33333333333333331</v>
      </c>
      <c r="B4" s="1">
        <v>1.805555555555555E-2</v>
      </c>
      <c r="C4" s="1">
        <v>1.388888888888889E-2</v>
      </c>
      <c r="D4" s="1">
        <f t="shared" ref="D4:D35" si="0">SUM(B4:C4)</f>
        <v>3.1944444444444442E-2</v>
      </c>
      <c r="E4" s="1">
        <v>1.7361111111111108E-2</v>
      </c>
      <c r="F4" s="1">
        <v>1.180555555555556E-2</v>
      </c>
      <c r="G4" s="1">
        <f t="shared" ref="G4:G35" si="1">SUM(E4:F4)</f>
        <v>2.9166666666666667E-2</v>
      </c>
      <c r="H4" s="1">
        <v>1.458333333333333E-2</v>
      </c>
      <c r="L4" s="1">
        <v>2.5000000000000001E-2</v>
      </c>
      <c r="R4" t="s">
        <v>76</v>
      </c>
      <c r="S4" t="s">
        <v>77</v>
      </c>
      <c r="U4" t="s">
        <v>78</v>
      </c>
    </row>
    <row r="5" spans="1:22">
      <c r="A5" s="1">
        <v>0.34375</v>
      </c>
      <c r="B5" s="1">
        <v>1.7361111111111108E-2</v>
      </c>
      <c r="C5" s="1">
        <v>1.388888888888889E-2</v>
      </c>
      <c r="D5" s="1">
        <f t="shared" si="0"/>
        <v>3.125E-2</v>
      </c>
      <c r="E5" s="1">
        <v>1.666666666666667E-2</v>
      </c>
      <c r="F5" s="1">
        <v>1.180555555555556E-2</v>
      </c>
      <c r="G5" s="1">
        <f t="shared" si="1"/>
        <v>2.8472222222222232E-2</v>
      </c>
      <c r="K5" s="1">
        <v>1.8749999999999999E-2</v>
      </c>
      <c r="S5" t="s">
        <v>84</v>
      </c>
      <c r="T5" t="s">
        <v>87</v>
      </c>
      <c r="U5" t="s">
        <v>84</v>
      </c>
      <c r="V5" t="s">
        <v>87</v>
      </c>
    </row>
    <row r="6" spans="1:22">
      <c r="A6" s="1">
        <v>0.35416666666666669</v>
      </c>
      <c r="B6" s="1">
        <v>1.7361111111111108E-2</v>
      </c>
      <c r="C6" s="1">
        <v>1.388888888888889E-2</v>
      </c>
      <c r="D6" s="1">
        <f t="shared" si="0"/>
        <v>3.125E-2</v>
      </c>
      <c r="E6" s="1">
        <v>1.666666666666667E-2</v>
      </c>
      <c r="F6" s="1">
        <v>1.111111111111111E-2</v>
      </c>
      <c r="G6" s="1">
        <f t="shared" si="1"/>
        <v>2.777777777777778E-2</v>
      </c>
      <c r="I6" s="1">
        <v>1.458333333333333E-2</v>
      </c>
      <c r="R6" s="1">
        <v>0.38541666666666669</v>
      </c>
      <c r="S6" s="1">
        <f>AVERAGE(D4:D9)</f>
        <v>3.125E-2</v>
      </c>
      <c r="T6" s="1">
        <f>MEDIAN(D4:D9)</f>
        <v>3.125E-2</v>
      </c>
      <c r="U6" s="1">
        <f>AVERAGE(G4:G9)</f>
        <v>2.8009259259259262E-2</v>
      </c>
      <c r="V6" s="1">
        <f>MEDIAN(G4:G9)</f>
        <v>2.777777777777778E-2</v>
      </c>
    </row>
    <row r="7" spans="1:22">
      <c r="A7" s="1">
        <v>0.36458333333333331</v>
      </c>
      <c r="B7" s="1">
        <v>1.7361111111111108E-2</v>
      </c>
      <c r="C7" s="1">
        <v>1.388888888888889E-2</v>
      </c>
      <c r="D7" s="1">
        <f t="shared" si="0"/>
        <v>3.125E-2</v>
      </c>
      <c r="E7" s="1">
        <v>1.666666666666667E-2</v>
      </c>
      <c r="F7" s="1">
        <v>1.111111111111111E-2</v>
      </c>
      <c r="G7" s="1">
        <f t="shared" si="1"/>
        <v>2.777777777777778E-2</v>
      </c>
      <c r="R7" s="1">
        <v>0.42708333333333331</v>
      </c>
      <c r="S7" s="1">
        <f>AVERAGE(D10:D13)</f>
        <v>3.0555555555555558E-2</v>
      </c>
      <c r="T7" s="1">
        <f>MEDIAN(D10:D13)</f>
        <v>3.0555555555555555E-2</v>
      </c>
      <c r="U7" s="1">
        <f>AVERAGE(G10:G13)</f>
        <v>2.6388888888888892E-2</v>
      </c>
      <c r="V7" s="1">
        <f>MEDIAN(G10:G13)</f>
        <v>2.6388888888888892E-2</v>
      </c>
    </row>
    <row r="8" spans="1:22">
      <c r="A8" s="1">
        <v>0.375</v>
      </c>
      <c r="B8" s="1">
        <v>1.7361111111111108E-2</v>
      </c>
      <c r="C8" s="1">
        <v>1.388888888888889E-2</v>
      </c>
      <c r="D8" s="1">
        <f t="shared" si="0"/>
        <v>3.125E-2</v>
      </c>
      <c r="E8" s="1">
        <v>1.666666666666667E-2</v>
      </c>
      <c r="F8" s="1">
        <v>1.111111111111111E-2</v>
      </c>
      <c r="G8" s="1">
        <f t="shared" si="1"/>
        <v>2.777777777777778E-2</v>
      </c>
      <c r="H8" s="1">
        <v>1.458333333333333E-2</v>
      </c>
      <c r="L8" s="1">
        <v>2.4305555555555559E-2</v>
      </c>
      <c r="R8" s="1">
        <v>0.46875</v>
      </c>
      <c r="S8" s="1">
        <f>AVERAGE(D14:D17)</f>
        <v>2.9513888888888885E-2</v>
      </c>
      <c r="T8" s="1">
        <f>MEDIAN(D14:D17)</f>
        <v>2.9513888888888885E-2</v>
      </c>
      <c r="U8" s="1">
        <f>AVERAGE(G14:G17)</f>
        <v>2.673611111111112E-2</v>
      </c>
      <c r="V8" s="1">
        <f>MEDIAN(G14:G17)</f>
        <v>2.6736111111111117E-2</v>
      </c>
    </row>
    <row r="9" spans="1:22">
      <c r="A9" s="1">
        <v>0.38541666666666669</v>
      </c>
      <c r="B9" s="1">
        <v>1.666666666666667E-2</v>
      </c>
      <c r="C9" s="1">
        <v>1.388888888888889E-2</v>
      </c>
      <c r="D9" s="1">
        <f t="shared" si="0"/>
        <v>3.0555555555555558E-2</v>
      </c>
      <c r="E9" s="1">
        <v>1.5972222222222221E-2</v>
      </c>
      <c r="F9" s="1">
        <v>1.111111111111111E-2</v>
      </c>
      <c r="G9" s="1">
        <f t="shared" si="1"/>
        <v>2.7083333333333331E-2</v>
      </c>
      <c r="R9" s="1">
        <v>0.51041666666666663</v>
      </c>
      <c r="S9" s="1">
        <f>AVERAGE(D18:D21)</f>
        <v>2.9513888888888888E-2</v>
      </c>
      <c r="T9" s="1">
        <f>MEDIAN(D18:D21)</f>
        <v>2.9513888888888885E-2</v>
      </c>
      <c r="U9" s="1">
        <f>AVERAGE(G18:G21)</f>
        <v>2.7083333333333341E-2</v>
      </c>
      <c r="V9" s="1">
        <f>MEDIAN(G18:G21)</f>
        <v>2.7083333333333341E-2</v>
      </c>
    </row>
    <row r="10" spans="1:22">
      <c r="A10" s="1">
        <v>0.39583333333333331</v>
      </c>
      <c r="B10" s="1">
        <v>1.666666666666667E-2</v>
      </c>
      <c r="C10" s="1">
        <v>1.388888888888889E-2</v>
      </c>
      <c r="D10" s="1">
        <f t="shared" si="0"/>
        <v>3.0555555555555558E-2</v>
      </c>
      <c r="E10" s="1">
        <v>1.5277777777777781E-2</v>
      </c>
      <c r="F10" s="1">
        <v>1.111111111111111E-2</v>
      </c>
      <c r="G10" s="1">
        <f t="shared" si="1"/>
        <v>2.6388888888888892E-2</v>
      </c>
      <c r="I10" s="1">
        <v>1.458333333333333E-2</v>
      </c>
      <c r="K10" s="1">
        <v>1.5972222222222221E-2</v>
      </c>
      <c r="R10" s="1">
        <v>0.55208333333333337</v>
      </c>
      <c r="S10" s="1">
        <f>AVERAGE(D22:D25)</f>
        <v>2.9687499999999995E-2</v>
      </c>
      <c r="T10" s="1">
        <f>MEDIAN(D22:D25)</f>
        <v>2.9861111111111109E-2</v>
      </c>
      <c r="U10" s="1">
        <f>AVERAGE(G22:G25)</f>
        <v>2.7083333333333341E-2</v>
      </c>
      <c r="V10" s="1">
        <f>MEDIAN(G22:G25)</f>
        <v>2.7083333333333341E-2</v>
      </c>
    </row>
    <row r="11" spans="1:22">
      <c r="A11" s="1">
        <v>0.40625</v>
      </c>
      <c r="B11" s="1">
        <v>1.666666666666667E-2</v>
      </c>
      <c r="C11" s="1">
        <v>1.388888888888889E-2</v>
      </c>
      <c r="D11" s="1">
        <f t="shared" si="0"/>
        <v>3.0555555555555558E-2</v>
      </c>
      <c r="E11" s="74">
        <v>1.5277777777777781E-2</v>
      </c>
      <c r="F11" s="1">
        <v>1.111111111111111E-2</v>
      </c>
      <c r="G11" s="1">
        <f t="shared" si="1"/>
        <v>2.6388888888888892E-2</v>
      </c>
      <c r="R11" s="1">
        <v>0.59375</v>
      </c>
      <c r="S11" s="1">
        <f>AVERAGE(D26:D29)</f>
        <v>2.916666666666666E-2</v>
      </c>
      <c r="T11" s="1">
        <f>MEDIAN(D26:D29)</f>
        <v>2.916666666666666E-2</v>
      </c>
      <c r="U11" s="1">
        <f>AVERAGE(G26:G29)</f>
        <v>2.7430555555555562E-2</v>
      </c>
      <c r="V11" s="1">
        <f>MEDIAN(G26:G29)</f>
        <v>2.7430555555555562E-2</v>
      </c>
    </row>
    <row r="12" spans="1:22">
      <c r="A12" s="1">
        <v>0.41666666666666669</v>
      </c>
      <c r="B12" s="1">
        <v>1.5972222222222221E-2</v>
      </c>
      <c r="C12" s="1">
        <v>1.458333333333333E-2</v>
      </c>
      <c r="D12" s="1">
        <f t="shared" si="0"/>
        <v>3.0555555555555551E-2</v>
      </c>
      <c r="E12" s="74">
        <v>1.5277777777777781E-2</v>
      </c>
      <c r="F12" s="1">
        <v>1.111111111111111E-2</v>
      </c>
      <c r="G12" s="1">
        <f t="shared" si="1"/>
        <v>2.6388888888888892E-2</v>
      </c>
      <c r="H12" s="1">
        <v>1.458333333333333E-2</v>
      </c>
      <c r="R12" s="1">
        <v>0.63541666666666663</v>
      </c>
      <c r="S12" s="1">
        <f>AVERAGE(D30:D33)</f>
        <v>2.9166666666666671E-2</v>
      </c>
      <c r="T12" s="1">
        <f>MEDIAN(D30:D33)</f>
        <v>2.9166666666666671E-2</v>
      </c>
      <c r="U12" s="1">
        <f>AVERAGE(G30:G33)</f>
        <v>2.7777777777777783E-2</v>
      </c>
      <c r="V12" s="1">
        <f>MEDIAN(G30:G33)</f>
        <v>2.7777777777777783E-2</v>
      </c>
    </row>
    <row r="13" spans="1:22">
      <c r="A13" s="1">
        <v>0.42708333333333331</v>
      </c>
      <c r="B13" s="1">
        <v>1.5972222222222221E-2</v>
      </c>
      <c r="C13" s="1">
        <v>1.458333333333333E-2</v>
      </c>
      <c r="D13" s="1">
        <f t="shared" si="0"/>
        <v>3.0555555555555551E-2</v>
      </c>
      <c r="E13" s="74">
        <v>1.5277777777777781E-2</v>
      </c>
      <c r="F13" s="1">
        <v>1.111111111111111E-2</v>
      </c>
      <c r="G13" s="1">
        <f t="shared" si="1"/>
        <v>2.6388888888888892E-2</v>
      </c>
      <c r="R13" s="1">
        <v>0.67708333333333337</v>
      </c>
      <c r="S13" s="1">
        <f>AVERAGE(D38:D41)</f>
        <v>3.003472222222222E-2</v>
      </c>
      <c r="T13" s="1">
        <f>MEDIAN(D38:D41)</f>
        <v>2.9861111111111109E-2</v>
      </c>
      <c r="U13" s="1">
        <f>AVERAGE(G38:G41)</f>
        <v>2.7604166666666669E-2</v>
      </c>
      <c r="V13" s="1">
        <f>MEDIAN(G38:G41)</f>
        <v>2.7777777777777783E-2</v>
      </c>
    </row>
    <row r="14" spans="1:22">
      <c r="A14" s="1">
        <v>0.4375</v>
      </c>
      <c r="B14" s="1">
        <v>1.5277777777777781E-2</v>
      </c>
      <c r="C14" s="1">
        <v>1.458333333333333E-2</v>
      </c>
      <c r="D14" s="1">
        <f t="shared" si="0"/>
        <v>2.9861111111111109E-2</v>
      </c>
      <c r="E14" s="74">
        <v>1.5277777777777781E-2</v>
      </c>
      <c r="F14" s="1">
        <v>1.111111111111111E-2</v>
      </c>
      <c r="G14" s="1">
        <f t="shared" si="1"/>
        <v>2.6388888888888892E-2</v>
      </c>
      <c r="I14" s="1">
        <v>1.458333333333333E-2</v>
      </c>
      <c r="R14" s="1">
        <v>0.71875</v>
      </c>
      <c r="S14" s="1">
        <f>AVERAGE(D42:D45)</f>
        <v>2.7604166666666659E-2</v>
      </c>
      <c r="T14" s="1">
        <f>MEDIAN(D42:D45)</f>
        <v>2.7430555555555548E-2</v>
      </c>
      <c r="U14" s="1">
        <f>AVERAGE(G42:G45)</f>
        <v>2.6388888888888889E-2</v>
      </c>
      <c r="V14" s="1">
        <f>MEDIAN(G42:G45)</f>
        <v>2.6388888888888892E-2</v>
      </c>
    </row>
    <row r="15" spans="1:22">
      <c r="A15" s="1">
        <v>0.44791666666666669</v>
      </c>
      <c r="B15" s="1">
        <v>1.5277777777777781E-2</v>
      </c>
      <c r="C15" s="1">
        <v>1.458333333333333E-2</v>
      </c>
      <c r="D15" s="1">
        <f t="shared" si="0"/>
        <v>2.9861111111111109E-2</v>
      </c>
      <c r="E15" s="74">
        <v>1.5277777777777781E-2</v>
      </c>
      <c r="F15" s="1">
        <v>1.111111111111111E-2</v>
      </c>
      <c r="G15" s="1">
        <f t="shared" si="1"/>
        <v>2.6388888888888892E-2</v>
      </c>
      <c r="R15" s="1">
        <v>0.76041666666666663</v>
      </c>
      <c r="S15" s="1">
        <f>AVERAGE(D46:D49)</f>
        <v>2.5520833333333326E-2</v>
      </c>
      <c r="T15" s="1">
        <f>MEDIAN(D46:D49)</f>
        <v>2.5347222222222222E-2</v>
      </c>
      <c r="U15" s="1">
        <f>AVERAGE(G46:G49)</f>
        <v>2.4652777777777777E-2</v>
      </c>
      <c r="V15" s="1">
        <f>MEDIAN(G46:G49)</f>
        <v>2.4652777777777773E-2</v>
      </c>
    </row>
    <row r="16" spans="1:22">
      <c r="A16" s="1">
        <v>0.45833333333333331</v>
      </c>
      <c r="B16" s="1">
        <v>1.458333333333333E-2</v>
      </c>
      <c r="C16" s="1">
        <v>1.458333333333333E-2</v>
      </c>
      <c r="D16" s="1">
        <f t="shared" si="0"/>
        <v>2.916666666666666E-2</v>
      </c>
      <c r="E16" s="74">
        <v>1.5277777777777781E-2</v>
      </c>
      <c r="F16" s="1">
        <v>1.180555555555556E-2</v>
      </c>
      <c r="G16" s="1">
        <f t="shared" si="1"/>
        <v>2.7083333333333341E-2</v>
      </c>
      <c r="H16" s="1">
        <v>1.458333333333333E-2</v>
      </c>
      <c r="L16" s="1">
        <v>2.0833333333333329E-2</v>
      </c>
      <c r="R16" s="1">
        <v>0.80208333333333337</v>
      </c>
      <c r="S16" s="1">
        <f>AVERAGE(D50:D52)</f>
        <v>2.4305555555555556E-2</v>
      </c>
      <c r="T16" s="1">
        <f>MEDIAN(D50:D52)</f>
        <v>2.5000000000000001E-2</v>
      </c>
      <c r="U16" s="1">
        <f>AVERAGE(G50:G52)</f>
        <v>3.1712962962962957E-2</v>
      </c>
      <c r="V16" s="1">
        <f>MEDIAN(G50:G52)</f>
        <v>3.1944444444444442E-2</v>
      </c>
    </row>
    <row r="17" spans="1:22">
      <c r="A17" s="1">
        <v>0.46875</v>
      </c>
      <c r="B17" s="1">
        <v>1.458333333333333E-2</v>
      </c>
      <c r="C17" s="1">
        <v>1.458333333333333E-2</v>
      </c>
      <c r="D17" s="1">
        <f t="shared" si="0"/>
        <v>2.916666666666666E-2</v>
      </c>
      <c r="E17" s="74">
        <v>1.5277777777777781E-2</v>
      </c>
      <c r="F17" s="1">
        <v>1.180555555555556E-2</v>
      </c>
      <c r="G17" s="1">
        <f t="shared" si="1"/>
        <v>2.7083333333333341E-2</v>
      </c>
      <c r="R17" s="75" t="s">
        <v>117</v>
      </c>
      <c r="S17" s="1">
        <f>AVERAGE(D4:D52)</f>
        <v>2.9053287981859403E-2</v>
      </c>
      <c r="T17" s="1">
        <f>MEDIAN(D4:D52)</f>
        <v>2.9166666666666671E-2</v>
      </c>
      <c r="U17" s="1">
        <f>AVERAGE(G4:G52)</f>
        <v>2.7324263038548756E-2</v>
      </c>
      <c r="V17" s="1">
        <f>MEDIAN(G4:G52)</f>
        <v>2.7083333333333341E-2</v>
      </c>
    </row>
    <row r="18" spans="1:22">
      <c r="A18" s="1">
        <v>0.47916666666666669</v>
      </c>
      <c r="B18" s="1">
        <v>1.458333333333333E-2</v>
      </c>
      <c r="C18" s="1">
        <v>1.458333333333333E-2</v>
      </c>
      <c r="D18" s="1">
        <f t="shared" si="0"/>
        <v>2.916666666666666E-2</v>
      </c>
      <c r="E18" s="74">
        <v>1.5277777777777781E-2</v>
      </c>
      <c r="F18" s="1">
        <v>1.180555555555556E-2</v>
      </c>
      <c r="G18" s="1">
        <f t="shared" si="1"/>
        <v>2.7083333333333341E-2</v>
      </c>
      <c r="I18" s="1">
        <v>1.458333333333333E-2</v>
      </c>
      <c r="K18" s="1">
        <v>1.388888888888889E-2</v>
      </c>
    </row>
    <row r="19" spans="1:22">
      <c r="A19" s="1">
        <v>0.48958333333333331</v>
      </c>
      <c r="B19" s="1">
        <v>1.458333333333333E-2</v>
      </c>
      <c r="C19" s="1">
        <v>1.458333333333333E-2</v>
      </c>
      <c r="D19" s="1">
        <f t="shared" si="0"/>
        <v>2.916666666666666E-2</v>
      </c>
      <c r="E19" s="74">
        <v>1.5277777777777781E-2</v>
      </c>
      <c r="F19" s="1">
        <v>1.180555555555556E-2</v>
      </c>
      <c r="G19" s="1">
        <f t="shared" si="1"/>
        <v>2.7083333333333341E-2</v>
      </c>
    </row>
    <row r="20" spans="1:22">
      <c r="A20" s="1">
        <v>0.5</v>
      </c>
      <c r="B20" s="1">
        <v>1.5277777777777781E-2</v>
      </c>
      <c r="C20" s="1">
        <v>1.458333333333333E-2</v>
      </c>
      <c r="D20" s="1">
        <f t="shared" si="0"/>
        <v>2.9861111111111109E-2</v>
      </c>
      <c r="E20" s="74">
        <v>1.5277777777777781E-2</v>
      </c>
      <c r="F20" s="1">
        <v>1.180555555555556E-2</v>
      </c>
      <c r="G20" s="1">
        <f t="shared" si="1"/>
        <v>2.7083333333333341E-2</v>
      </c>
      <c r="H20" s="1">
        <v>1.458333333333333E-2</v>
      </c>
    </row>
    <row r="21" spans="1:22">
      <c r="A21" s="1">
        <v>0.51041666666666663</v>
      </c>
      <c r="B21" s="1">
        <v>1.5277777777777781E-2</v>
      </c>
      <c r="C21" s="1">
        <v>1.458333333333333E-2</v>
      </c>
      <c r="D21" s="1">
        <f t="shared" si="0"/>
        <v>2.9861111111111109E-2</v>
      </c>
      <c r="E21" s="74">
        <v>1.5277777777777781E-2</v>
      </c>
      <c r="F21" s="1">
        <v>1.180555555555556E-2</v>
      </c>
      <c r="G21" s="1">
        <f t="shared" si="1"/>
        <v>2.7083333333333341E-2</v>
      </c>
    </row>
    <row r="22" spans="1:22">
      <c r="A22" s="1">
        <v>0.52083333333333337</v>
      </c>
      <c r="B22" s="1">
        <v>1.5277777777777781E-2</v>
      </c>
      <c r="C22" s="1">
        <v>1.458333333333333E-2</v>
      </c>
      <c r="D22" s="1">
        <f t="shared" si="0"/>
        <v>2.9861111111111109E-2</v>
      </c>
      <c r="E22" s="74">
        <v>1.5277777777777781E-2</v>
      </c>
      <c r="F22" s="1">
        <v>1.180555555555556E-2</v>
      </c>
      <c r="G22" s="1">
        <f t="shared" si="1"/>
        <v>2.7083333333333341E-2</v>
      </c>
      <c r="I22" s="1">
        <v>1.458333333333333E-2</v>
      </c>
    </row>
    <row r="23" spans="1:22">
      <c r="A23" s="1">
        <v>0.53125</v>
      </c>
      <c r="B23" s="1">
        <v>1.5277777777777781E-2</v>
      </c>
      <c r="C23" s="1">
        <v>1.458333333333333E-2</v>
      </c>
      <c r="D23" s="1">
        <f t="shared" si="0"/>
        <v>2.9861111111111109E-2</v>
      </c>
      <c r="E23" s="74">
        <v>1.5277777777777781E-2</v>
      </c>
      <c r="F23" s="1">
        <v>1.180555555555556E-2</v>
      </c>
      <c r="G23" s="1">
        <f t="shared" si="1"/>
        <v>2.7083333333333341E-2</v>
      </c>
    </row>
    <row r="24" spans="1:22">
      <c r="A24" s="1">
        <v>0.54166666666666663</v>
      </c>
      <c r="B24" s="1">
        <v>1.5277777777777781E-2</v>
      </c>
      <c r="C24" s="1">
        <v>1.458333333333333E-2</v>
      </c>
      <c r="D24" s="1">
        <f t="shared" si="0"/>
        <v>2.9861111111111109E-2</v>
      </c>
      <c r="E24" s="74">
        <v>1.5277777777777781E-2</v>
      </c>
      <c r="F24" s="1">
        <v>1.180555555555556E-2</v>
      </c>
      <c r="G24" s="1">
        <f t="shared" si="1"/>
        <v>2.7083333333333341E-2</v>
      </c>
      <c r="H24" s="1">
        <v>1.458333333333333E-2</v>
      </c>
    </row>
    <row r="25" spans="1:22">
      <c r="A25" s="1">
        <v>0.55208333333333337</v>
      </c>
      <c r="B25" s="1">
        <v>1.458333333333333E-2</v>
      </c>
      <c r="C25" s="1">
        <v>1.458333333333333E-2</v>
      </c>
      <c r="D25" s="1">
        <f t="shared" si="0"/>
        <v>2.916666666666666E-2</v>
      </c>
      <c r="E25" s="74">
        <v>1.5277777777777781E-2</v>
      </c>
      <c r="F25" s="1">
        <v>1.180555555555556E-2</v>
      </c>
      <c r="G25" s="1">
        <f t="shared" si="1"/>
        <v>2.7083333333333341E-2</v>
      </c>
    </row>
    <row r="26" spans="1:22">
      <c r="A26" s="1">
        <v>0.5625</v>
      </c>
      <c r="B26" s="1">
        <v>1.458333333333333E-2</v>
      </c>
      <c r="C26" s="1">
        <v>1.458333333333333E-2</v>
      </c>
      <c r="D26" s="1">
        <f t="shared" si="0"/>
        <v>2.916666666666666E-2</v>
      </c>
      <c r="E26" s="74">
        <v>1.5277777777777781E-2</v>
      </c>
      <c r="F26" s="1">
        <v>1.180555555555556E-2</v>
      </c>
      <c r="G26" s="1">
        <f t="shared" si="1"/>
        <v>2.7083333333333341E-2</v>
      </c>
      <c r="I26" s="1">
        <v>1.458333333333333E-2</v>
      </c>
      <c r="L26" s="1">
        <v>2.0833333333333329E-2</v>
      </c>
    </row>
    <row r="27" spans="1:22">
      <c r="A27" s="1">
        <v>0.57291666666666663</v>
      </c>
      <c r="B27" s="1">
        <v>1.458333333333333E-2</v>
      </c>
      <c r="C27" s="1">
        <v>1.458333333333333E-2</v>
      </c>
      <c r="D27" s="1">
        <f t="shared" si="0"/>
        <v>2.916666666666666E-2</v>
      </c>
      <c r="E27" s="74">
        <v>1.5277777777777781E-2</v>
      </c>
      <c r="F27" s="1">
        <v>1.180555555555556E-2</v>
      </c>
      <c r="G27" s="1">
        <f t="shared" si="1"/>
        <v>2.7083333333333341E-2</v>
      </c>
    </row>
    <row r="28" spans="1:22">
      <c r="A28" s="1">
        <v>0.58333333333333337</v>
      </c>
      <c r="B28" s="1">
        <v>1.458333333333333E-2</v>
      </c>
      <c r="C28" s="1">
        <v>1.458333333333333E-2</v>
      </c>
      <c r="D28" s="1">
        <f t="shared" si="0"/>
        <v>2.916666666666666E-2</v>
      </c>
      <c r="E28" s="74">
        <v>1.5277777777777781E-2</v>
      </c>
      <c r="F28" s="1">
        <v>1.2500000000000001E-2</v>
      </c>
      <c r="G28" s="1">
        <f t="shared" si="1"/>
        <v>2.7777777777777783E-2</v>
      </c>
      <c r="H28" s="1">
        <v>1.458333333333333E-2</v>
      </c>
      <c r="K28" s="1">
        <v>1.388888888888889E-2</v>
      </c>
    </row>
    <row r="29" spans="1:22">
      <c r="A29" s="1">
        <v>0.59375</v>
      </c>
      <c r="B29" s="1">
        <v>1.458333333333333E-2</v>
      </c>
      <c r="C29" s="1">
        <v>1.458333333333333E-2</v>
      </c>
      <c r="D29" s="1">
        <f t="shared" si="0"/>
        <v>2.916666666666666E-2</v>
      </c>
      <c r="E29" s="74">
        <v>1.5277777777777781E-2</v>
      </c>
      <c r="F29" s="1">
        <v>1.2500000000000001E-2</v>
      </c>
      <c r="G29" s="1">
        <f t="shared" si="1"/>
        <v>2.7777777777777783E-2</v>
      </c>
    </row>
    <row r="30" spans="1:22">
      <c r="A30" s="1">
        <v>0.60416666666666663</v>
      </c>
      <c r="B30" s="1">
        <v>1.5277777777777781E-2</v>
      </c>
      <c r="C30" s="1">
        <v>1.388888888888889E-2</v>
      </c>
      <c r="D30" s="1">
        <f t="shared" si="0"/>
        <v>2.9166666666666671E-2</v>
      </c>
      <c r="E30" s="74">
        <v>1.5277777777777781E-2</v>
      </c>
      <c r="F30" s="1">
        <v>1.2500000000000001E-2</v>
      </c>
      <c r="G30" s="1">
        <f t="shared" si="1"/>
        <v>2.7777777777777783E-2</v>
      </c>
      <c r="I30" s="1">
        <v>1.458333333333333E-2</v>
      </c>
    </row>
    <row r="31" spans="1:22">
      <c r="A31" s="1">
        <v>0.61458333333333337</v>
      </c>
      <c r="B31" s="1">
        <v>1.5277777777777781E-2</v>
      </c>
      <c r="C31" s="1">
        <v>1.388888888888889E-2</v>
      </c>
      <c r="D31" s="1">
        <f t="shared" si="0"/>
        <v>2.9166666666666671E-2</v>
      </c>
      <c r="E31" s="74">
        <v>1.5277777777777781E-2</v>
      </c>
      <c r="F31" s="1">
        <v>1.2500000000000001E-2</v>
      </c>
      <c r="G31" s="1">
        <f t="shared" si="1"/>
        <v>2.7777777777777783E-2</v>
      </c>
    </row>
    <row r="32" spans="1:22">
      <c r="A32" s="1">
        <v>0.625</v>
      </c>
      <c r="B32" s="1">
        <v>1.5277777777777781E-2</v>
      </c>
      <c r="C32" s="1">
        <v>1.388888888888889E-2</v>
      </c>
      <c r="D32" s="1">
        <f t="shared" si="0"/>
        <v>2.9166666666666671E-2</v>
      </c>
      <c r="E32" s="74">
        <v>1.5277777777777781E-2</v>
      </c>
      <c r="F32" s="1">
        <v>1.2500000000000001E-2</v>
      </c>
      <c r="G32" s="1">
        <f t="shared" si="1"/>
        <v>2.7777777777777783E-2</v>
      </c>
      <c r="H32" s="1">
        <v>1.458333333333333E-2</v>
      </c>
    </row>
    <row r="33" spans="1:12">
      <c r="A33" s="1">
        <v>0.63541666666666663</v>
      </c>
      <c r="B33" s="1">
        <v>1.5277777777777781E-2</v>
      </c>
      <c r="C33" s="1">
        <v>1.388888888888889E-2</v>
      </c>
      <c r="D33" s="1">
        <f t="shared" si="0"/>
        <v>2.9166666666666671E-2</v>
      </c>
      <c r="E33" s="74">
        <v>1.5277777777777781E-2</v>
      </c>
      <c r="F33" s="1">
        <v>1.2500000000000001E-2</v>
      </c>
      <c r="G33" s="1">
        <f t="shared" si="1"/>
        <v>2.7777777777777783E-2</v>
      </c>
    </row>
    <row r="34" spans="1:12">
      <c r="A34" s="1">
        <v>0.64583333333333337</v>
      </c>
      <c r="B34" s="1">
        <v>1.5277777777777781E-2</v>
      </c>
      <c r="C34" s="1">
        <v>1.388888888888889E-2</v>
      </c>
      <c r="D34" s="1">
        <f t="shared" si="0"/>
        <v>2.9166666666666671E-2</v>
      </c>
      <c r="E34" s="74">
        <v>1.5277777777777781E-2</v>
      </c>
      <c r="F34" s="1">
        <v>1.2500000000000001E-2</v>
      </c>
      <c r="G34" s="1">
        <f t="shared" si="1"/>
        <v>2.7777777777777783E-2</v>
      </c>
      <c r="I34" s="1">
        <v>1.458333333333333E-2</v>
      </c>
      <c r="L34" s="1">
        <v>2.4305555555555559E-2</v>
      </c>
    </row>
    <row r="35" spans="1:12">
      <c r="A35" s="1">
        <v>0.65625</v>
      </c>
      <c r="B35" s="1">
        <v>1.5277777777777781E-2</v>
      </c>
      <c r="C35" s="1">
        <v>1.5277777777777781E-2</v>
      </c>
      <c r="D35" s="1">
        <f t="shared" si="0"/>
        <v>3.0555555555555561E-2</v>
      </c>
      <c r="E35" s="74">
        <v>1.5277777777777781E-2</v>
      </c>
      <c r="F35" s="1">
        <v>1.2500000000000001E-2</v>
      </c>
      <c r="G35" s="1">
        <f t="shared" si="1"/>
        <v>2.7777777777777783E-2</v>
      </c>
    </row>
    <row r="36" spans="1:12">
      <c r="A36" s="1">
        <v>0.66666666666666663</v>
      </c>
      <c r="B36" s="1">
        <v>1.5277777777777781E-2</v>
      </c>
      <c r="C36" s="1">
        <v>1.5277777777777781E-2</v>
      </c>
      <c r="D36" s="1">
        <f t="shared" ref="D36:D52" si="2">SUM(B36:C36)</f>
        <v>3.0555555555555561E-2</v>
      </c>
      <c r="E36" s="74">
        <v>1.5277777777777781E-2</v>
      </c>
      <c r="F36" s="1">
        <v>1.2500000000000001E-2</v>
      </c>
      <c r="G36" s="1">
        <f t="shared" ref="G36:G52" si="3">SUM(E36:F36)</f>
        <v>2.7777777777777783E-2</v>
      </c>
      <c r="H36" s="1">
        <v>1.458333333333333E-2</v>
      </c>
      <c r="K36" s="1">
        <v>1.7361111111111108E-2</v>
      </c>
    </row>
    <row r="37" spans="1:12">
      <c r="A37" s="1">
        <v>0.67708333333333337</v>
      </c>
      <c r="B37" s="1">
        <v>1.458333333333333E-2</v>
      </c>
      <c r="C37" s="1">
        <v>1.5277777777777781E-2</v>
      </c>
      <c r="D37" s="1">
        <f t="shared" si="2"/>
        <v>2.9861111111111109E-2</v>
      </c>
      <c r="E37" s="74">
        <v>1.5277777777777781E-2</v>
      </c>
      <c r="F37" s="1">
        <v>1.2500000000000001E-2</v>
      </c>
      <c r="G37" s="1">
        <f t="shared" si="3"/>
        <v>2.7777777777777783E-2</v>
      </c>
    </row>
    <row r="38" spans="1:12">
      <c r="A38" s="1">
        <v>0.6875</v>
      </c>
      <c r="B38" s="1">
        <v>1.458333333333333E-2</v>
      </c>
      <c r="C38" s="1">
        <v>1.5277777777777781E-2</v>
      </c>
      <c r="D38" s="1">
        <f t="shared" si="2"/>
        <v>2.9861111111111109E-2</v>
      </c>
      <c r="E38" s="74">
        <v>1.5277777777777781E-2</v>
      </c>
      <c r="F38" s="1">
        <v>1.2500000000000001E-2</v>
      </c>
      <c r="G38" s="1">
        <f t="shared" si="3"/>
        <v>2.7777777777777783E-2</v>
      </c>
      <c r="I38" s="1">
        <v>1.458333333333333E-2</v>
      </c>
    </row>
    <row r="39" spans="1:12">
      <c r="A39" s="1">
        <v>0.69791666666666663</v>
      </c>
      <c r="B39" s="1">
        <v>1.458333333333333E-2</v>
      </c>
      <c r="C39" s="1">
        <v>1.5277777777777781E-2</v>
      </c>
      <c r="D39" s="1">
        <f t="shared" si="2"/>
        <v>2.9861111111111109E-2</v>
      </c>
      <c r="E39" s="74">
        <v>1.5277777777777781E-2</v>
      </c>
      <c r="F39" s="1">
        <v>1.2500000000000001E-2</v>
      </c>
      <c r="G39" s="1">
        <f t="shared" si="3"/>
        <v>2.7777777777777783E-2</v>
      </c>
    </row>
    <row r="40" spans="1:12">
      <c r="A40" s="1">
        <v>0.70833333333333337</v>
      </c>
      <c r="B40" s="1">
        <v>1.458333333333333E-2</v>
      </c>
      <c r="C40" s="1">
        <v>1.5277777777777781E-2</v>
      </c>
      <c r="D40" s="1">
        <f t="shared" si="2"/>
        <v>2.9861111111111109E-2</v>
      </c>
      <c r="E40" s="74">
        <v>1.5277777777777781E-2</v>
      </c>
      <c r="F40" s="1">
        <v>1.2500000000000001E-2</v>
      </c>
      <c r="G40" s="1">
        <f t="shared" si="3"/>
        <v>2.7777777777777783E-2</v>
      </c>
      <c r="H40" s="1">
        <v>1.458333333333333E-2</v>
      </c>
    </row>
    <row r="41" spans="1:12">
      <c r="A41" s="1">
        <v>0.71875</v>
      </c>
      <c r="B41" s="1">
        <v>1.388888888888889E-2</v>
      </c>
      <c r="C41" s="1">
        <v>1.666666666666667E-2</v>
      </c>
      <c r="D41" s="1">
        <f t="shared" si="2"/>
        <v>3.0555555555555558E-2</v>
      </c>
      <c r="E41" s="1">
        <v>1.458333333333333E-2</v>
      </c>
      <c r="F41" s="1">
        <v>1.2500000000000001E-2</v>
      </c>
      <c r="G41" s="1">
        <f t="shared" si="3"/>
        <v>2.7083333333333331E-2</v>
      </c>
      <c r="L41" s="1">
        <v>2.1527777777777781E-2</v>
      </c>
    </row>
    <row r="42" spans="1:12">
      <c r="A42" s="1">
        <v>0.72916666666666663</v>
      </c>
      <c r="B42" s="1">
        <v>1.3194444444444439E-2</v>
      </c>
      <c r="C42" s="1">
        <v>1.5972222222222221E-2</v>
      </c>
      <c r="D42" s="1">
        <f t="shared" si="2"/>
        <v>2.916666666666666E-2</v>
      </c>
      <c r="E42" s="1">
        <v>1.458333333333333E-2</v>
      </c>
      <c r="F42" s="1">
        <v>1.2500000000000001E-2</v>
      </c>
      <c r="G42" s="1">
        <f t="shared" si="3"/>
        <v>2.7083333333333331E-2</v>
      </c>
      <c r="I42" s="1">
        <v>1.458333333333333E-2</v>
      </c>
    </row>
    <row r="43" spans="1:12">
      <c r="A43" s="1">
        <v>0.73958333333333337</v>
      </c>
      <c r="B43" s="1">
        <v>1.3194444444444439E-2</v>
      </c>
      <c r="C43" s="1">
        <v>1.458333333333333E-2</v>
      </c>
      <c r="D43" s="1">
        <f t="shared" si="2"/>
        <v>2.7777777777777769E-2</v>
      </c>
      <c r="E43" s="1">
        <v>1.458333333333333E-2</v>
      </c>
      <c r="F43" s="1">
        <v>1.2500000000000001E-2</v>
      </c>
      <c r="G43" s="1">
        <f t="shared" si="3"/>
        <v>2.7083333333333331E-2</v>
      </c>
      <c r="K43" s="1">
        <v>2.013888888888889E-2</v>
      </c>
    </row>
    <row r="44" spans="1:12">
      <c r="A44" s="1">
        <v>0.75</v>
      </c>
      <c r="B44" s="1">
        <v>1.3194444444444439E-2</v>
      </c>
      <c r="C44" s="1">
        <v>1.388888888888889E-2</v>
      </c>
      <c r="D44" s="1">
        <f t="shared" si="2"/>
        <v>2.7083333333333327E-2</v>
      </c>
      <c r="E44" s="1">
        <v>1.388888888888889E-2</v>
      </c>
      <c r="F44" s="1">
        <v>1.180555555555556E-2</v>
      </c>
      <c r="G44" s="1">
        <f t="shared" si="3"/>
        <v>2.569444444444445E-2</v>
      </c>
      <c r="H44" s="1">
        <v>1.458333333333333E-2</v>
      </c>
    </row>
    <row r="45" spans="1:12">
      <c r="A45" s="1">
        <v>0.76041666666666663</v>
      </c>
      <c r="B45" s="1">
        <v>1.3194444444444439E-2</v>
      </c>
      <c r="C45" s="1">
        <v>1.3194444444444439E-2</v>
      </c>
      <c r="D45" s="1">
        <f t="shared" si="2"/>
        <v>2.6388888888888878E-2</v>
      </c>
      <c r="E45" s="1">
        <v>1.388888888888889E-2</v>
      </c>
      <c r="F45" s="1">
        <v>1.180555555555556E-2</v>
      </c>
      <c r="G45" s="1">
        <f t="shared" si="3"/>
        <v>2.569444444444445E-2</v>
      </c>
    </row>
    <row r="46" spans="1:12">
      <c r="A46" s="1">
        <v>0.77083333333333337</v>
      </c>
      <c r="B46" s="1">
        <v>1.3194444444444439E-2</v>
      </c>
      <c r="C46" s="1">
        <v>1.3194444444444439E-2</v>
      </c>
      <c r="D46" s="1">
        <f t="shared" si="2"/>
        <v>2.6388888888888878E-2</v>
      </c>
      <c r="E46" s="1">
        <v>1.388888888888889E-2</v>
      </c>
      <c r="F46" s="1">
        <v>1.111111111111111E-2</v>
      </c>
      <c r="G46" s="1">
        <f t="shared" si="3"/>
        <v>2.5000000000000001E-2</v>
      </c>
      <c r="I46" s="1">
        <v>1.458333333333333E-2</v>
      </c>
      <c r="L46" s="1">
        <v>1.805555555555555E-2</v>
      </c>
    </row>
    <row r="47" spans="1:12">
      <c r="A47" s="1">
        <v>0.78125</v>
      </c>
      <c r="B47" s="1">
        <v>1.3194444444444439E-2</v>
      </c>
      <c r="C47" s="1">
        <v>1.2500000000000001E-2</v>
      </c>
      <c r="D47" s="1">
        <f t="shared" si="2"/>
        <v>2.569444444444444E-2</v>
      </c>
      <c r="E47" s="1">
        <v>1.388888888888889E-2</v>
      </c>
      <c r="F47" s="1">
        <v>1.111111111111111E-2</v>
      </c>
      <c r="G47" s="1">
        <f t="shared" si="3"/>
        <v>2.5000000000000001E-2</v>
      </c>
    </row>
    <row r="48" spans="1:12">
      <c r="A48" s="1">
        <v>0.79166666666666663</v>
      </c>
      <c r="B48" s="1">
        <v>1.2500000000000001E-2</v>
      </c>
      <c r="C48" s="1">
        <v>1.2500000000000001E-2</v>
      </c>
      <c r="D48" s="1">
        <f t="shared" si="2"/>
        <v>2.5000000000000001E-2</v>
      </c>
      <c r="E48" s="1">
        <v>1.3194444444444439E-2</v>
      </c>
      <c r="F48" s="1">
        <v>1.111111111111111E-2</v>
      </c>
      <c r="G48" s="1">
        <f t="shared" si="3"/>
        <v>2.4305555555555549E-2</v>
      </c>
      <c r="H48" s="1">
        <v>1.458333333333333E-2</v>
      </c>
    </row>
    <row r="49" spans="1:9">
      <c r="A49" s="1">
        <v>0.80208333333333337</v>
      </c>
      <c r="B49" s="1">
        <v>1.2500000000000001E-2</v>
      </c>
      <c r="C49" s="1">
        <v>1.2500000000000001E-2</v>
      </c>
      <c r="D49" s="1">
        <f t="shared" si="2"/>
        <v>2.5000000000000001E-2</v>
      </c>
      <c r="E49" s="1">
        <v>1.3194444444444439E-2</v>
      </c>
      <c r="F49" s="1">
        <v>1.111111111111111E-2</v>
      </c>
      <c r="G49" s="1">
        <f t="shared" si="3"/>
        <v>2.4305555555555549E-2</v>
      </c>
      <c r="H49" s="1"/>
    </row>
    <row r="50" spans="1:9">
      <c r="A50" s="1">
        <v>0.8125</v>
      </c>
      <c r="B50" s="1">
        <v>1.2500000000000001E-2</v>
      </c>
      <c r="C50" s="1">
        <v>1.2500000000000001E-2</v>
      </c>
      <c r="D50" s="1">
        <f t="shared" si="2"/>
        <v>2.5000000000000001E-2</v>
      </c>
      <c r="E50" s="1">
        <v>1.805555555555555E-2</v>
      </c>
      <c r="F50" s="74">
        <v>1.458333333333333E-2</v>
      </c>
      <c r="G50" s="1">
        <f t="shared" si="3"/>
        <v>3.2638888888888884E-2</v>
      </c>
      <c r="I50" s="1">
        <v>1.458333333333333E-2</v>
      </c>
    </row>
    <row r="51" spans="1:9">
      <c r="A51" s="1">
        <v>0.82291666666666663</v>
      </c>
      <c r="B51" s="1">
        <v>1.2500000000000001E-2</v>
      </c>
      <c r="C51" s="1">
        <v>1.2500000000000001E-2</v>
      </c>
      <c r="D51" s="1">
        <f t="shared" si="2"/>
        <v>2.5000000000000001E-2</v>
      </c>
      <c r="E51" s="1">
        <v>1.7361111111111108E-2</v>
      </c>
      <c r="F51" s="74">
        <v>1.458333333333333E-2</v>
      </c>
      <c r="G51" s="1">
        <f t="shared" si="3"/>
        <v>3.1944444444444442E-2</v>
      </c>
    </row>
    <row r="52" spans="1:9">
      <c r="A52" s="1">
        <v>0.83333333333333337</v>
      </c>
      <c r="B52" s="1">
        <v>1.180555555555556E-2</v>
      </c>
      <c r="C52" s="1">
        <v>1.111111111111111E-2</v>
      </c>
      <c r="D52" s="1">
        <f t="shared" si="2"/>
        <v>2.2916666666666669E-2</v>
      </c>
      <c r="E52" s="1">
        <v>1.7361111111111108E-2</v>
      </c>
      <c r="F52" s="1">
        <v>1.3194444444444439E-2</v>
      </c>
      <c r="G52" s="1">
        <f t="shared" si="3"/>
        <v>3.0555555555555548E-2</v>
      </c>
      <c r="H52" s="1">
        <v>1.458333333333333E-2</v>
      </c>
    </row>
  </sheetData>
  <mergeCells count="5">
    <mergeCell ref="B2:D2"/>
    <mergeCell ref="E2:G2"/>
    <mergeCell ref="B1:G1"/>
    <mergeCell ref="H2:J2"/>
    <mergeCell ref="K2:M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T17"/>
  <sheetViews>
    <sheetView workbookViewId="0">
      <selection activeCell="A3" sqref="A3:B3"/>
    </sheetView>
  </sheetViews>
  <sheetFormatPr baseColWidth="10" defaultRowHeight="16"/>
  <cols>
    <col min="1" max="1" width="29.33203125" bestFit="1" customWidth="1"/>
  </cols>
  <sheetData>
    <row r="1" spans="1:20">
      <c r="A1" s="42" t="s">
        <v>729</v>
      </c>
      <c r="H1" t="s">
        <v>84</v>
      </c>
      <c r="I1" t="s">
        <v>85</v>
      </c>
      <c r="J1" t="s">
        <v>86</v>
      </c>
      <c r="K1" t="s">
        <v>87</v>
      </c>
      <c r="L1" t="s">
        <v>88</v>
      </c>
      <c r="M1" t="s">
        <v>89</v>
      </c>
      <c r="O1" t="s">
        <v>84</v>
      </c>
      <c r="P1" t="s">
        <v>90</v>
      </c>
      <c r="Q1" t="s">
        <v>86</v>
      </c>
      <c r="R1" t="s">
        <v>87</v>
      </c>
      <c r="S1" t="s">
        <v>88</v>
      </c>
      <c r="T1" t="s">
        <v>91</v>
      </c>
    </row>
    <row r="2" spans="1:20">
      <c r="A2" t="s">
        <v>730</v>
      </c>
      <c r="B2">
        <v>35</v>
      </c>
      <c r="G2" s="1">
        <v>0.38541666666666669</v>
      </c>
      <c r="H2" s="1">
        <v>2.75E-2</v>
      </c>
      <c r="I2" s="1">
        <v>2.222222222222222E-2</v>
      </c>
      <c r="J2" s="1">
        <v>2.569444444444444E-2</v>
      </c>
      <c r="K2" s="1">
        <v>2.9166666666666671E-2</v>
      </c>
      <c r="L2" s="1">
        <v>2.9861111111111109E-2</v>
      </c>
      <c r="M2" s="1">
        <v>3.0555555555555551E-2</v>
      </c>
      <c r="N2" s="1"/>
      <c r="O2" s="1">
        <v>2.6620370370370371E-2</v>
      </c>
      <c r="P2" s="1">
        <v>2.569444444444444E-2</v>
      </c>
      <c r="Q2" s="1">
        <v>2.6388888888888889E-2</v>
      </c>
      <c r="R2" s="1">
        <v>2.7083333333333331E-2</v>
      </c>
      <c r="S2" s="1">
        <v>2.7083333333333331E-2</v>
      </c>
      <c r="T2" s="1">
        <v>2.7083333333333331E-2</v>
      </c>
    </row>
    <row r="3" spans="1:20">
      <c r="A3" t="s">
        <v>631</v>
      </c>
      <c r="B3">
        <v>2.68</v>
      </c>
      <c r="G3" s="1">
        <v>0.42708333333333331</v>
      </c>
      <c r="H3" s="1">
        <v>2.4545451388888889E-2</v>
      </c>
      <c r="I3" s="1">
        <v>0.02</v>
      </c>
      <c r="J3" s="1">
        <v>2.2812499999999999E-2</v>
      </c>
      <c r="K3" s="1">
        <v>2.6249999999999999E-2</v>
      </c>
      <c r="L3" s="1">
        <v>2.6562499999999999E-2</v>
      </c>
      <c r="M3" s="1">
        <v>2.6875E-2</v>
      </c>
      <c r="N3" s="1"/>
      <c r="O3" s="1">
        <v>2.559524305555556E-2</v>
      </c>
      <c r="P3" s="1">
        <v>2.222222222222222E-2</v>
      </c>
      <c r="Q3" s="1">
        <v>2.447916666666667E-2</v>
      </c>
      <c r="R3" s="1">
        <v>2.5347222222222219E-2</v>
      </c>
      <c r="S3" s="1">
        <v>2.7083333333333331E-2</v>
      </c>
      <c r="T3" s="1">
        <v>2.8472222222222222E-2</v>
      </c>
    </row>
    <row r="4" spans="1:20">
      <c r="A4" t="s">
        <v>731</v>
      </c>
      <c r="B4">
        <f>B3*B2</f>
        <v>93.800000000000011</v>
      </c>
      <c r="G4" s="1">
        <v>0.46875</v>
      </c>
      <c r="H4" s="1">
        <v>2.5052083333333329E-2</v>
      </c>
      <c r="I4" s="1">
        <v>1.5625E-2</v>
      </c>
      <c r="J4" s="1">
        <v>2.4375000000000001E-2</v>
      </c>
      <c r="K4" s="1">
        <v>2.5312500000000002E-2</v>
      </c>
      <c r="L4" s="1">
        <v>2.75E-2</v>
      </c>
      <c r="M4" s="1">
        <v>3.125E-2</v>
      </c>
      <c r="N4" s="1"/>
      <c r="O4" s="1">
        <v>2.387152777777778E-2</v>
      </c>
      <c r="P4" s="1">
        <v>2.0833333333333329E-2</v>
      </c>
      <c r="Q4" s="1">
        <v>2.2916666666666669E-2</v>
      </c>
      <c r="R4" s="1">
        <v>2.4305555555555559E-2</v>
      </c>
      <c r="S4" s="1">
        <v>2.5000000000000001E-2</v>
      </c>
      <c r="T4" s="1">
        <v>2.569444444444444E-2</v>
      </c>
    </row>
    <row r="5" spans="1:20">
      <c r="A5" t="s">
        <v>732</v>
      </c>
      <c r="B5">
        <f>B4/60</f>
        <v>1.5633333333333335</v>
      </c>
      <c r="G5" s="1">
        <v>0.51041666666666663</v>
      </c>
      <c r="H5" s="1">
        <v>2.5859375E-2</v>
      </c>
      <c r="I5" s="1">
        <v>0.02</v>
      </c>
      <c r="J5" s="1">
        <v>2.5624999999999998E-2</v>
      </c>
      <c r="K5" s="1">
        <v>2.5937499999999999E-2</v>
      </c>
      <c r="L5" s="1">
        <v>2.703125E-2</v>
      </c>
      <c r="M5" s="1">
        <v>2.9374999999999998E-2</v>
      </c>
      <c r="N5" s="1"/>
      <c r="O5" s="1">
        <v>2.4810601851851851E-2</v>
      </c>
      <c r="P5" s="1">
        <v>2.1527777777777781E-2</v>
      </c>
      <c r="Q5" s="1">
        <v>2.2569444444444441E-2</v>
      </c>
      <c r="R5" s="1">
        <v>2.569444444444444E-2</v>
      </c>
      <c r="S5" s="1">
        <v>2.6388888888888889E-2</v>
      </c>
      <c r="T5" s="1">
        <v>2.777777777777778E-2</v>
      </c>
    </row>
    <row r="6" spans="1:20">
      <c r="G6" s="1">
        <v>0.63541666666666663</v>
      </c>
      <c r="H6" s="1">
        <v>2.5000000000000001E-2</v>
      </c>
      <c r="I6" s="1">
        <v>2.4375000000000001E-2</v>
      </c>
      <c r="J6" s="1">
        <v>2.5000000000000001E-2</v>
      </c>
      <c r="K6" s="1">
        <v>2.5000000000000001E-2</v>
      </c>
      <c r="L6" s="1">
        <v>2.5312500000000002E-2</v>
      </c>
      <c r="M6" s="1">
        <v>2.5624999999999998E-2</v>
      </c>
      <c r="N6" s="1"/>
      <c r="O6" s="1">
        <v>2.416666666666667E-2</v>
      </c>
      <c r="P6" s="1">
        <v>2.222222222222222E-2</v>
      </c>
      <c r="Q6" s="1">
        <v>2.2916666666666669E-2</v>
      </c>
      <c r="R6" s="1">
        <v>2.361111111111111E-2</v>
      </c>
      <c r="S6" s="1">
        <v>2.569444444444444E-2</v>
      </c>
      <c r="T6" s="1">
        <v>2.6388888888888889E-2</v>
      </c>
    </row>
    <row r="7" spans="1:20">
      <c r="G7" s="1">
        <v>0.67708333333333337</v>
      </c>
      <c r="H7" s="1">
        <v>2.598090277777778E-2</v>
      </c>
      <c r="I7" s="1">
        <v>2.2499999999999999E-2</v>
      </c>
      <c r="J7" s="1">
        <v>2.4843750000000001E-2</v>
      </c>
      <c r="K7" s="1">
        <v>2.5000000000000001E-2</v>
      </c>
      <c r="L7" s="1">
        <v>2.6336805555555551E-2</v>
      </c>
      <c r="M7" s="1">
        <v>3.1875000000000001E-2</v>
      </c>
      <c r="N7" s="1"/>
      <c r="O7" s="1">
        <v>2.3524305555555559E-2</v>
      </c>
      <c r="P7" s="1">
        <v>2.0833333333333329E-2</v>
      </c>
      <c r="Q7" s="1">
        <v>2.2743055555555551E-2</v>
      </c>
      <c r="R7" s="1">
        <v>2.326388888888889E-2</v>
      </c>
      <c r="S7" s="1">
        <v>2.447916666666667E-2</v>
      </c>
      <c r="T7" s="1">
        <v>2.6388888888888889E-2</v>
      </c>
    </row>
    <row r="8" spans="1:20">
      <c r="B8" t="s">
        <v>641</v>
      </c>
      <c r="G8" s="1">
        <v>0.71875</v>
      </c>
      <c r="H8" s="1">
        <v>3.040123842592592E-2</v>
      </c>
      <c r="I8" s="1">
        <v>2.8472222222222222E-2</v>
      </c>
      <c r="J8" s="1">
        <v>2.9166666666666671E-2</v>
      </c>
      <c r="K8" s="1">
        <v>2.9861111111111109E-2</v>
      </c>
      <c r="L8" s="1">
        <v>3.125E-2</v>
      </c>
      <c r="M8" s="1">
        <v>3.3333333333333333E-2</v>
      </c>
      <c r="N8" s="1"/>
      <c r="O8" s="1">
        <v>2.6388888888888889E-2</v>
      </c>
      <c r="P8" s="1">
        <v>2.4305555555555559E-2</v>
      </c>
      <c r="Q8" s="1">
        <v>2.4305555555555559E-2</v>
      </c>
      <c r="R8" s="1">
        <v>2.6388888888888889E-2</v>
      </c>
      <c r="S8" s="1">
        <v>2.7083333333333331E-2</v>
      </c>
      <c r="T8" s="1">
        <v>3.125E-2</v>
      </c>
    </row>
    <row r="9" spans="1:20">
      <c r="B9" t="s">
        <v>77</v>
      </c>
      <c r="C9" t="s">
        <v>78</v>
      </c>
      <c r="G9" s="1">
        <v>0.76041666666666663</v>
      </c>
      <c r="H9" s="1">
        <v>3.0989583333333331E-2</v>
      </c>
      <c r="I9" s="1">
        <v>2.9166666666666671E-2</v>
      </c>
      <c r="J9" s="1">
        <v>3.0381944444444441E-2</v>
      </c>
      <c r="K9" s="1">
        <v>3.125E-2</v>
      </c>
      <c r="L9" s="1">
        <v>3.142361111111111E-2</v>
      </c>
      <c r="M9" s="1">
        <v>3.2638888888888891E-2</v>
      </c>
      <c r="N9" s="1"/>
      <c r="O9" s="1">
        <v>2.6388888888888889E-2</v>
      </c>
      <c r="P9" s="1">
        <v>2.361111111111111E-2</v>
      </c>
      <c r="Q9" s="1">
        <v>2.6215277777777778E-2</v>
      </c>
      <c r="R9" s="1">
        <v>2.6388888888888889E-2</v>
      </c>
      <c r="S9" s="1">
        <v>2.7083333333333331E-2</v>
      </c>
      <c r="T9" s="1">
        <v>2.8472222222222222E-2</v>
      </c>
    </row>
    <row r="10" spans="1:20">
      <c r="A10" s="1">
        <v>0.38541666666666669</v>
      </c>
      <c r="B10">
        <f t="shared" ref="B10:B17" si="0">K2*24*$B$5</f>
        <v>1.0943333333333336</v>
      </c>
      <c r="C10">
        <f t="shared" ref="C10:C17" si="1">R2*24*$B$5</f>
        <v>1.0161666666666667</v>
      </c>
      <c r="G10" s="1" t="s">
        <v>117</v>
      </c>
      <c r="H10" s="1">
        <v>2.686523148148148E-2</v>
      </c>
      <c r="I10" s="1">
        <v>1.5625E-2</v>
      </c>
      <c r="J10" s="1">
        <v>2.5000000000000001E-2</v>
      </c>
      <c r="K10" s="1">
        <v>2.6875E-2</v>
      </c>
      <c r="L10" s="1">
        <v>2.9496527777777781E-2</v>
      </c>
      <c r="M10" s="1">
        <v>3.3333333333333333E-2</v>
      </c>
      <c r="N10" s="1"/>
      <c r="O10" s="1">
        <v>2.512820601851852E-2</v>
      </c>
      <c r="P10" s="1">
        <v>2.0833333333333329E-2</v>
      </c>
      <c r="Q10" s="1">
        <v>2.361111111111111E-2</v>
      </c>
      <c r="R10" s="1">
        <v>2.5000000000000001E-2</v>
      </c>
      <c r="S10" s="1">
        <v>2.6388888888888889E-2</v>
      </c>
      <c r="T10" s="1">
        <v>3.125E-2</v>
      </c>
    </row>
    <row r="11" spans="1:20">
      <c r="A11" s="1">
        <v>0.42708333333333331</v>
      </c>
      <c r="B11">
        <f t="shared" si="0"/>
        <v>0.98490000000000011</v>
      </c>
      <c r="C11">
        <f t="shared" si="1"/>
        <v>0.95102777777777781</v>
      </c>
    </row>
    <row r="12" spans="1:20">
      <c r="A12" s="1">
        <v>0.46875</v>
      </c>
      <c r="B12">
        <f t="shared" si="0"/>
        <v>0.94972500000000015</v>
      </c>
      <c r="C12">
        <f t="shared" si="1"/>
        <v>0.91194444444444478</v>
      </c>
      <c r="I12" s="1"/>
    </row>
    <row r="13" spans="1:20">
      <c r="A13" s="1">
        <v>0.51041666666666663</v>
      </c>
      <c r="B13">
        <f t="shared" si="0"/>
        <v>0.97317500000000001</v>
      </c>
      <c r="C13">
        <f t="shared" si="1"/>
        <v>0.96405555555555555</v>
      </c>
    </row>
    <row r="14" spans="1:20">
      <c r="A14" s="1">
        <v>0.63541666666666663</v>
      </c>
      <c r="B14">
        <f t="shared" si="0"/>
        <v>0.93800000000000017</v>
      </c>
      <c r="C14">
        <f t="shared" si="1"/>
        <v>0.88588888888888895</v>
      </c>
    </row>
    <row r="15" spans="1:20">
      <c r="A15" s="1">
        <v>0.67708333333333337</v>
      </c>
      <c r="B15">
        <f t="shared" si="0"/>
        <v>0.93800000000000017</v>
      </c>
      <c r="C15">
        <f t="shared" si="1"/>
        <v>0.8728611111111112</v>
      </c>
    </row>
    <row r="16" spans="1:20">
      <c r="A16" s="1">
        <v>0.71875</v>
      </c>
      <c r="B16">
        <f t="shared" si="0"/>
        <v>1.1203888888888889</v>
      </c>
      <c r="C16">
        <f t="shared" si="1"/>
        <v>0.99011111111111116</v>
      </c>
    </row>
    <row r="17" spans="1:3">
      <c r="A17" s="1">
        <v>0.76041666666666663</v>
      </c>
      <c r="B17">
        <f t="shared" si="0"/>
        <v>1.1725000000000001</v>
      </c>
      <c r="C17">
        <f t="shared" si="1"/>
        <v>0.99011111111111116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L29"/>
  <sheetViews>
    <sheetView workbookViewId="0">
      <selection activeCell="I14" sqref="I14:L18"/>
    </sheetView>
  </sheetViews>
  <sheetFormatPr baseColWidth="10" defaultRowHeight="16"/>
  <cols>
    <col min="10" max="10" width="21.83203125" bestFit="1" customWidth="1"/>
  </cols>
  <sheetData>
    <row r="1" spans="1:12">
      <c r="B1" s="95" t="s">
        <v>733</v>
      </c>
      <c r="C1" s="89"/>
      <c r="D1" s="95" t="s">
        <v>734</v>
      </c>
      <c r="E1" s="89"/>
    </row>
    <row r="2" spans="1:12">
      <c r="A2" t="s">
        <v>735</v>
      </c>
      <c r="B2" t="s">
        <v>736</v>
      </c>
      <c r="C2" t="s">
        <v>737</v>
      </c>
      <c r="D2" t="s">
        <v>738</v>
      </c>
      <c r="E2" t="s">
        <v>739</v>
      </c>
      <c r="F2" t="s">
        <v>740</v>
      </c>
      <c r="G2" t="s">
        <v>741</v>
      </c>
    </row>
    <row r="3" spans="1:12">
      <c r="A3">
        <v>0</v>
      </c>
      <c r="B3">
        <v>0</v>
      </c>
      <c r="C3">
        <f t="shared" ref="C3:C21" si="0">B3/2.237</f>
        <v>0</v>
      </c>
      <c r="D3">
        <v>0</v>
      </c>
      <c r="E3">
        <f t="shared" ref="E3:E21" si="1">D3*425.144</f>
        <v>0</v>
      </c>
      <c r="F3">
        <f t="shared" ref="F3:F20" si="2">(C3+C4)/2*(A4-A3)</f>
        <v>0.22351363433169422</v>
      </c>
      <c r="G3">
        <v>0</v>
      </c>
      <c r="J3" t="s">
        <v>742</v>
      </c>
      <c r="K3">
        <f>AVERAGE(E3:E21)</f>
        <v>9932.7064000000009</v>
      </c>
    </row>
    <row r="4" spans="1:12">
      <c r="A4">
        <v>1</v>
      </c>
      <c r="B4">
        <v>1</v>
      </c>
      <c r="C4">
        <f t="shared" si="0"/>
        <v>0.44702726866338843</v>
      </c>
      <c r="D4">
        <v>4</v>
      </c>
      <c r="E4">
        <f t="shared" si="1"/>
        <v>1700.576</v>
      </c>
      <c r="F4">
        <f t="shared" si="2"/>
        <v>0.89405453732677687</v>
      </c>
      <c r="G4">
        <f t="shared" ref="G4:G21" si="3">F4/E4</f>
        <v>5.2573630189228641E-4</v>
      </c>
      <c r="J4" t="s">
        <v>743</v>
      </c>
      <c r="K4">
        <f>SUM(F3:F20)</f>
        <v>133.66115333035316</v>
      </c>
    </row>
    <row r="5" spans="1:12">
      <c r="A5">
        <v>2</v>
      </c>
      <c r="B5">
        <v>3</v>
      </c>
      <c r="C5">
        <f t="shared" si="0"/>
        <v>1.3410818059901652</v>
      </c>
      <c r="D5">
        <v>5</v>
      </c>
      <c r="E5">
        <f t="shared" si="1"/>
        <v>2125.7200000000003</v>
      </c>
      <c r="F5">
        <f t="shared" si="2"/>
        <v>2.0116227089852479</v>
      </c>
      <c r="G5">
        <f t="shared" si="3"/>
        <v>9.4632534340611542E-4</v>
      </c>
      <c r="J5" t="s">
        <v>744</v>
      </c>
      <c r="K5">
        <f>K4/K3</f>
        <v>1.3456670110610854E-2</v>
      </c>
    </row>
    <row r="6" spans="1:12">
      <c r="A6">
        <v>3</v>
      </c>
      <c r="B6">
        <v>6</v>
      </c>
      <c r="C6">
        <f t="shared" si="0"/>
        <v>2.6821636119803305</v>
      </c>
      <c r="D6">
        <v>6</v>
      </c>
      <c r="E6">
        <f t="shared" si="1"/>
        <v>2550.864</v>
      </c>
      <c r="F6">
        <f t="shared" si="2"/>
        <v>3.1291908806437192</v>
      </c>
      <c r="G6">
        <f t="shared" si="3"/>
        <v>1.2267180377486685E-3</v>
      </c>
    </row>
    <row r="7" spans="1:12">
      <c r="A7">
        <v>4</v>
      </c>
      <c r="B7">
        <v>8</v>
      </c>
      <c r="C7">
        <f t="shared" si="0"/>
        <v>3.5762181493071075</v>
      </c>
      <c r="D7">
        <v>9.6999999999999993</v>
      </c>
      <c r="E7">
        <f t="shared" si="1"/>
        <v>4123.8967999999995</v>
      </c>
      <c r="F7">
        <f t="shared" si="2"/>
        <v>3.7997317836388014</v>
      </c>
      <c r="G7">
        <f t="shared" si="3"/>
        <v>9.213935187802958E-4</v>
      </c>
      <c r="J7" t="s">
        <v>744</v>
      </c>
      <c r="K7">
        <f>SUM(G3:G20)</f>
        <v>1.7251254701001133E-2</v>
      </c>
    </row>
    <row r="8" spans="1:12">
      <c r="A8">
        <v>5</v>
      </c>
      <c r="B8">
        <v>9</v>
      </c>
      <c r="C8">
        <f t="shared" si="0"/>
        <v>4.0232454179704957</v>
      </c>
      <c r="D8">
        <v>13.7</v>
      </c>
      <c r="E8">
        <f t="shared" si="1"/>
        <v>5824.4727999999996</v>
      </c>
      <c r="F8">
        <f t="shared" si="2"/>
        <v>4.6937863209655788</v>
      </c>
      <c r="G8">
        <f t="shared" si="3"/>
        <v>8.0587316348452673E-4</v>
      </c>
    </row>
    <row r="9" spans="1:12">
      <c r="A9">
        <v>6</v>
      </c>
      <c r="B9">
        <v>12</v>
      </c>
      <c r="C9">
        <f t="shared" si="0"/>
        <v>5.364327223960661</v>
      </c>
      <c r="D9">
        <v>13.5</v>
      </c>
      <c r="E9">
        <f t="shared" si="1"/>
        <v>5739.4440000000004</v>
      </c>
      <c r="F9">
        <f t="shared" si="2"/>
        <v>5.8113544926240497</v>
      </c>
      <c r="G9">
        <f t="shared" si="3"/>
        <v>1.0125291740147738E-3</v>
      </c>
      <c r="J9" t="s">
        <v>745</v>
      </c>
      <c r="K9">
        <f>C20/A20</f>
        <v>0.78887165058245023</v>
      </c>
    </row>
    <row r="10" spans="1:12">
      <c r="A10">
        <v>7</v>
      </c>
      <c r="B10">
        <v>14</v>
      </c>
      <c r="C10">
        <f t="shared" si="0"/>
        <v>6.2583817612874384</v>
      </c>
      <c r="D10">
        <v>14.7</v>
      </c>
      <c r="E10">
        <f t="shared" si="1"/>
        <v>6249.6167999999998</v>
      </c>
      <c r="F10">
        <f t="shared" si="2"/>
        <v>6.4818953956191327</v>
      </c>
      <c r="G10">
        <f t="shared" si="3"/>
        <v>1.0371668540732181E-3</v>
      </c>
    </row>
    <row r="11" spans="1:12">
      <c r="A11">
        <v>8</v>
      </c>
      <c r="B11">
        <v>15</v>
      </c>
      <c r="C11">
        <f t="shared" si="0"/>
        <v>6.7054090299508271</v>
      </c>
      <c r="D11">
        <v>15.6</v>
      </c>
      <c r="E11">
        <f t="shared" si="1"/>
        <v>6632.2464</v>
      </c>
      <c r="F11">
        <f t="shared" si="2"/>
        <v>7.1524362986142158</v>
      </c>
      <c r="G11">
        <f t="shared" si="3"/>
        <v>1.0784334397790493E-3</v>
      </c>
    </row>
    <row r="12" spans="1:12">
      <c r="A12">
        <v>9</v>
      </c>
      <c r="B12">
        <v>17</v>
      </c>
      <c r="C12">
        <f t="shared" si="0"/>
        <v>7.5994635672776036</v>
      </c>
      <c r="D12">
        <v>21.9</v>
      </c>
      <c r="E12">
        <f t="shared" si="1"/>
        <v>9310.6535999999996</v>
      </c>
      <c r="F12">
        <f t="shared" si="2"/>
        <v>8.0464908359409915</v>
      </c>
      <c r="G12">
        <f t="shared" si="3"/>
        <v>8.6422405790512831E-4</v>
      </c>
    </row>
    <row r="13" spans="1:12">
      <c r="A13">
        <v>10</v>
      </c>
      <c r="B13">
        <v>19</v>
      </c>
      <c r="C13">
        <f t="shared" si="0"/>
        <v>8.4935181046043802</v>
      </c>
      <c r="D13">
        <v>24.8</v>
      </c>
      <c r="E13">
        <f t="shared" si="1"/>
        <v>10543.5712</v>
      </c>
      <c r="F13">
        <f t="shared" si="2"/>
        <v>8.7170317389360754</v>
      </c>
      <c r="G13">
        <f t="shared" si="3"/>
        <v>8.2676273281448269E-4</v>
      </c>
    </row>
    <row r="14" spans="1:12">
      <c r="A14">
        <v>11</v>
      </c>
      <c r="B14">
        <v>20</v>
      </c>
      <c r="C14">
        <f t="shared" si="0"/>
        <v>8.9405453732677689</v>
      </c>
      <c r="D14">
        <v>14.5</v>
      </c>
      <c r="E14">
        <f t="shared" si="1"/>
        <v>6164.5879999999997</v>
      </c>
      <c r="F14">
        <f t="shared" si="2"/>
        <v>9.6110862762628528</v>
      </c>
      <c r="G14">
        <f t="shared" si="3"/>
        <v>1.5590800676805738E-3</v>
      </c>
      <c r="J14" s="85" t="s">
        <v>741</v>
      </c>
      <c r="K14" s="87"/>
    </row>
    <row r="15" spans="1:12">
      <c r="A15">
        <v>12</v>
      </c>
      <c r="B15">
        <v>23</v>
      </c>
      <c r="C15">
        <f t="shared" si="0"/>
        <v>10.281627179257935</v>
      </c>
      <c r="D15">
        <v>17.3</v>
      </c>
      <c r="E15">
        <f t="shared" si="1"/>
        <v>7354.9912000000004</v>
      </c>
      <c r="F15">
        <f t="shared" si="2"/>
        <v>10.505140813589628</v>
      </c>
      <c r="G15">
        <f t="shared" si="3"/>
        <v>1.4283009357767319E-3</v>
      </c>
      <c r="I15" s="43" t="s">
        <v>746</v>
      </c>
      <c r="J15" s="43" t="s">
        <v>747</v>
      </c>
      <c r="K15" s="43" t="s">
        <v>748</v>
      </c>
      <c r="L15" s="43" t="s">
        <v>749</v>
      </c>
    </row>
    <row r="16" spans="1:12">
      <c r="A16">
        <v>13</v>
      </c>
      <c r="B16">
        <v>24</v>
      </c>
      <c r="C16">
        <f t="shared" si="0"/>
        <v>10.728654447921322</v>
      </c>
      <c r="D16">
        <v>18.5</v>
      </c>
      <c r="E16">
        <f t="shared" si="1"/>
        <v>7865.1639999999998</v>
      </c>
      <c r="F16">
        <f t="shared" si="2"/>
        <v>11.175681716584711</v>
      </c>
      <c r="G16">
        <f t="shared" si="3"/>
        <v>1.4209089240332065E-3</v>
      </c>
      <c r="I16" s="44" t="s">
        <v>750</v>
      </c>
      <c r="J16" s="44">
        <f>K7</f>
        <v>1.7251254701001133E-2</v>
      </c>
      <c r="K16" s="44">
        <v>1.78E-2</v>
      </c>
      <c r="L16" s="78">
        <f>(K16-J16)/J16</f>
        <v>3.1809008011864905E-2</v>
      </c>
    </row>
    <row r="17" spans="1:12">
      <c r="A17">
        <v>14</v>
      </c>
      <c r="B17">
        <v>26</v>
      </c>
      <c r="C17">
        <f t="shared" si="0"/>
        <v>11.622708985248099</v>
      </c>
      <c r="D17">
        <v>20.8</v>
      </c>
      <c r="E17">
        <f t="shared" si="1"/>
        <v>8842.9952000000012</v>
      </c>
      <c r="F17">
        <f t="shared" si="2"/>
        <v>12.069736253911488</v>
      </c>
      <c r="G17">
        <f t="shared" si="3"/>
        <v>1.3648923222203588E-3</v>
      </c>
      <c r="I17" s="44" t="s">
        <v>751</v>
      </c>
      <c r="J17" s="44">
        <v>11.127000000000001</v>
      </c>
      <c r="K17" s="44">
        <f>F28</f>
        <v>11.225668284725597</v>
      </c>
      <c r="L17" s="78">
        <f>(K17-J17)/J17</f>
        <v>8.8674651501389375E-3</v>
      </c>
    </row>
    <row r="18" spans="1:12">
      <c r="A18">
        <v>15</v>
      </c>
      <c r="B18">
        <v>28</v>
      </c>
      <c r="C18">
        <f t="shared" si="0"/>
        <v>12.516763522574877</v>
      </c>
      <c r="D18">
        <v>27.4</v>
      </c>
      <c r="E18">
        <f t="shared" si="1"/>
        <v>11648.945599999999</v>
      </c>
      <c r="F18">
        <f t="shared" si="2"/>
        <v>12.740277156906572</v>
      </c>
      <c r="G18">
        <f t="shared" si="3"/>
        <v>1.0936850075861436E-3</v>
      </c>
      <c r="I18" s="44" t="s">
        <v>752</v>
      </c>
      <c r="J18" s="44">
        <v>1.095</v>
      </c>
      <c r="K18" s="44">
        <f>F29</f>
        <v>1.0196363017995218</v>
      </c>
      <c r="L18" s="78">
        <f>(K18-J18)/J18</f>
        <v>-6.8825295160254041E-2</v>
      </c>
    </row>
    <row r="19" spans="1:12">
      <c r="A19">
        <v>16</v>
      </c>
      <c r="B19">
        <v>29</v>
      </c>
      <c r="C19">
        <f t="shared" si="0"/>
        <v>12.963790791238265</v>
      </c>
      <c r="D19">
        <v>48.7</v>
      </c>
      <c r="E19">
        <f t="shared" si="1"/>
        <v>20704.5128</v>
      </c>
      <c r="F19">
        <f t="shared" si="2"/>
        <v>13.187304425569959</v>
      </c>
      <c r="G19">
        <f t="shared" si="3"/>
        <v>6.3692898997217448E-4</v>
      </c>
    </row>
    <row r="20" spans="1:12">
      <c r="A20">
        <v>17</v>
      </c>
      <c r="B20">
        <v>30</v>
      </c>
      <c r="C20">
        <f t="shared" si="0"/>
        <v>13.410818059901654</v>
      </c>
      <c r="D20">
        <v>62.8</v>
      </c>
      <c r="E20">
        <f t="shared" si="1"/>
        <v>26699.0432</v>
      </c>
      <c r="F20">
        <f t="shared" si="2"/>
        <v>13.410818059901654</v>
      </c>
      <c r="G20">
        <f t="shared" si="3"/>
        <v>5.0229582983339475E-4</v>
      </c>
    </row>
    <row r="21" spans="1:12">
      <c r="A21">
        <v>18</v>
      </c>
      <c r="B21">
        <v>30</v>
      </c>
      <c r="C21">
        <f t="shared" si="0"/>
        <v>13.410818059901654</v>
      </c>
      <c r="D21">
        <v>105</v>
      </c>
      <c r="E21">
        <f t="shared" si="1"/>
        <v>44640.12</v>
      </c>
      <c r="F21" t="e">
        <f>(C21+#REF!)/2*(#REF!-A21)</f>
        <v>#REF!</v>
      </c>
      <c r="G21" t="e">
        <f t="shared" si="3"/>
        <v>#REF!</v>
      </c>
    </row>
    <row r="27" spans="1:12">
      <c r="B27" t="s">
        <v>753</v>
      </c>
      <c r="C27" t="s">
        <v>754</v>
      </c>
      <c r="D27" t="s">
        <v>738</v>
      </c>
      <c r="E27" t="s">
        <v>755</v>
      </c>
      <c r="F27" t="s">
        <v>702</v>
      </c>
    </row>
    <row r="28" spans="1:12">
      <c r="A28" t="s">
        <v>756</v>
      </c>
      <c r="B28">
        <v>129</v>
      </c>
      <c r="C28">
        <f>B28*1609.34</f>
        <v>207604.86</v>
      </c>
      <c r="D28">
        <v>43.5</v>
      </c>
      <c r="E28">
        <f>D28*425.144</f>
        <v>18493.763999999999</v>
      </c>
      <c r="F28">
        <f>C28/E28</f>
        <v>11.225668284725597</v>
      </c>
    </row>
    <row r="29" spans="1:12">
      <c r="A29" t="s">
        <v>757</v>
      </c>
      <c r="B29">
        <v>8</v>
      </c>
      <c r="C29">
        <f>B29*1609.34</f>
        <v>12874.72</v>
      </c>
      <c r="D29">
        <v>29.7</v>
      </c>
      <c r="E29">
        <f>D29*425.144</f>
        <v>12626.7768</v>
      </c>
      <c r="F29">
        <f>C29/E29</f>
        <v>1.0196363017995218</v>
      </c>
    </row>
  </sheetData>
  <mergeCells count="3">
    <mergeCell ref="B1:C1"/>
    <mergeCell ref="D1:E1"/>
    <mergeCell ref="J14:K1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X46"/>
  <sheetViews>
    <sheetView workbookViewId="0">
      <selection activeCell="B7" sqref="B7"/>
    </sheetView>
  </sheetViews>
  <sheetFormatPr baseColWidth="10" defaultRowHeight="16"/>
  <cols>
    <col min="1" max="1" width="25.5" bestFit="1" customWidth="1"/>
    <col min="2" max="3" width="15" customWidth="1"/>
    <col min="4" max="4" width="12.83203125" bestFit="1" customWidth="1"/>
    <col min="5" max="5" width="14.5" bestFit="1" customWidth="1"/>
    <col min="6" max="6" width="42.5" bestFit="1" customWidth="1"/>
    <col min="9" max="9" width="25.5" bestFit="1" customWidth="1"/>
    <col min="18" max="18" width="25.5" bestFit="1" customWidth="1"/>
  </cols>
  <sheetData>
    <row r="1" spans="1:23">
      <c r="A1" s="43" t="s">
        <v>475</v>
      </c>
      <c r="B1" s="43" t="s">
        <v>476</v>
      </c>
      <c r="D1" s="43" t="s">
        <v>477</v>
      </c>
      <c r="E1" s="43" t="s">
        <v>478</v>
      </c>
      <c r="F1" t="s">
        <v>479</v>
      </c>
      <c r="I1" s="42" t="s">
        <v>480</v>
      </c>
      <c r="J1" s="42" t="s">
        <v>481</v>
      </c>
      <c r="K1" s="42" t="s">
        <v>423</v>
      </c>
    </row>
    <row r="2" spans="1:23">
      <c r="A2" s="44">
        <v>1</v>
      </c>
      <c r="B2" s="44">
        <v>4463</v>
      </c>
      <c r="D2" s="44" t="s">
        <v>482</v>
      </c>
      <c r="E2" s="44">
        <v>3220</v>
      </c>
      <c r="F2" t="s">
        <v>483</v>
      </c>
      <c r="G2">
        <f>ROUNDUP(E2*0.9,-1)</f>
        <v>2900</v>
      </c>
      <c r="I2" t="s">
        <v>484</v>
      </c>
      <c r="J2">
        <v>3806</v>
      </c>
      <c r="K2">
        <f>ROUND((J2/$J$7)*100,0)</f>
        <v>19</v>
      </c>
    </row>
    <row r="3" spans="1:23">
      <c r="A3" s="44">
        <v>2</v>
      </c>
      <c r="B3" s="44">
        <v>3829</v>
      </c>
      <c r="D3" s="44" t="s">
        <v>485</v>
      </c>
      <c r="E3" s="44">
        <f>E4-E2</f>
        <v>611</v>
      </c>
      <c r="F3" t="s">
        <v>486</v>
      </c>
      <c r="G3">
        <f>ROUND(G2/B2 * 100,0)</f>
        <v>65</v>
      </c>
      <c r="I3" t="s">
        <v>487</v>
      </c>
      <c r="J3">
        <v>6670</v>
      </c>
      <c r="K3">
        <f>ROUND((J3/$J$7)*100,0)</f>
        <v>33</v>
      </c>
    </row>
    <row r="4" spans="1:23">
      <c r="A4" s="44">
        <v>3</v>
      </c>
      <c r="B4" s="44">
        <v>3236</v>
      </c>
      <c r="D4" s="43" t="s">
        <v>28</v>
      </c>
      <c r="E4" s="43">
        <v>3831</v>
      </c>
      <c r="I4" t="s">
        <v>488</v>
      </c>
      <c r="J4">
        <v>3029</v>
      </c>
      <c r="K4">
        <f>ROUND((J4/$J$7)*100,0)</f>
        <v>15</v>
      </c>
    </row>
    <row r="5" spans="1:23">
      <c r="A5" s="44">
        <v>4</v>
      </c>
      <c r="B5" s="44">
        <v>2599</v>
      </c>
      <c r="I5" t="s">
        <v>489</v>
      </c>
      <c r="J5">
        <v>6033</v>
      </c>
      <c r="K5">
        <f>ROUND((J5/$J$7)*100,0)</f>
        <v>30</v>
      </c>
    </row>
    <row r="6" spans="1:23">
      <c r="A6" s="44">
        <v>5</v>
      </c>
      <c r="B6" s="44">
        <v>354</v>
      </c>
      <c r="I6" t="s">
        <v>490</v>
      </c>
      <c r="J6">
        <v>388</v>
      </c>
      <c r="K6">
        <f>ROUND((J6/$J$7)*100,0)</f>
        <v>2</v>
      </c>
    </row>
    <row r="7" spans="1:23">
      <c r="A7" s="43" t="s">
        <v>28</v>
      </c>
      <c r="B7" s="43">
        <f>SUM(B2:B6)</f>
        <v>14481</v>
      </c>
      <c r="I7" s="42" t="s">
        <v>28</v>
      </c>
      <c r="J7" s="42">
        <f>SUM(J2:J6)</f>
        <v>19926</v>
      </c>
      <c r="K7" s="42"/>
    </row>
    <row r="8" spans="1:23">
      <c r="A8" t="s">
        <v>491</v>
      </c>
    </row>
    <row r="11" spans="1:23">
      <c r="A11" s="45" t="s">
        <v>492</v>
      </c>
      <c r="B11" s="45" t="s">
        <v>423</v>
      </c>
    </row>
    <row r="12" spans="1:23">
      <c r="A12" s="45" t="s">
        <v>493</v>
      </c>
      <c r="B12" s="48">
        <v>0.7</v>
      </c>
    </row>
    <row r="13" spans="1:23">
      <c r="A13" s="45" t="s">
        <v>494</v>
      </c>
      <c r="B13" s="48">
        <v>0.21</v>
      </c>
      <c r="M13" s="85" t="s">
        <v>495</v>
      </c>
      <c r="N13" s="86"/>
      <c r="O13" s="86"/>
      <c r="P13" s="86"/>
      <c r="Q13" s="87"/>
      <c r="S13" s="85" t="s">
        <v>496</v>
      </c>
      <c r="T13" s="86"/>
      <c r="U13" s="86"/>
      <c r="V13" s="86"/>
      <c r="W13" s="87"/>
    </row>
    <row r="14" spans="1:23">
      <c r="A14" s="45" t="s">
        <v>497</v>
      </c>
      <c r="B14" s="48">
        <v>0.09</v>
      </c>
      <c r="I14" s="45" t="s">
        <v>480</v>
      </c>
      <c r="J14" s="43" t="s">
        <v>498</v>
      </c>
      <c r="K14" s="43" t="s">
        <v>499</v>
      </c>
      <c r="M14" s="43" t="s">
        <v>500</v>
      </c>
      <c r="N14" s="43" t="s">
        <v>501</v>
      </c>
      <c r="O14" s="43" t="s">
        <v>502</v>
      </c>
      <c r="P14" s="43" t="s">
        <v>503</v>
      </c>
      <c r="Q14" s="43" t="s">
        <v>504</v>
      </c>
      <c r="S14" s="43" t="s">
        <v>500</v>
      </c>
      <c r="T14" s="43" t="s">
        <v>501</v>
      </c>
      <c r="U14" s="43" t="s">
        <v>502</v>
      </c>
      <c r="V14" s="43" t="s">
        <v>503</v>
      </c>
      <c r="W14" s="43" t="s">
        <v>504</v>
      </c>
    </row>
    <row r="15" spans="1:23">
      <c r="I15" s="46" t="s">
        <v>484</v>
      </c>
      <c r="J15" s="44">
        <v>15</v>
      </c>
      <c r="K15" s="44">
        <v>7</v>
      </c>
      <c r="M15" s="54">
        <f t="shared" ref="M15:Q18" si="0">J24/$J15</f>
        <v>56.8</v>
      </c>
      <c r="N15" s="54">
        <f t="shared" si="0"/>
        <v>48.733333333333334</v>
      </c>
      <c r="O15" s="54">
        <f t="shared" si="0"/>
        <v>41.2</v>
      </c>
      <c r="P15" s="54">
        <f t="shared" si="0"/>
        <v>33.06666666666667</v>
      </c>
      <c r="Q15" s="54">
        <f t="shared" si="0"/>
        <v>9.1999999999999993</v>
      </c>
      <c r="S15" s="54">
        <f t="shared" ref="S15:W18" si="1">J24/$K15</f>
        <v>121.71428571428571</v>
      </c>
      <c r="T15" s="54">
        <f t="shared" si="1"/>
        <v>104.42857142857143</v>
      </c>
      <c r="U15" s="54">
        <f t="shared" si="1"/>
        <v>88.285714285714292</v>
      </c>
      <c r="V15" s="54">
        <f t="shared" si="1"/>
        <v>70.857142857142861</v>
      </c>
      <c r="W15" s="54">
        <f t="shared" si="1"/>
        <v>19.714285714285715</v>
      </c>
    </row>
    <row r="16" spans="1:23">
      <c r="I16" s="46" t="s">
        <v>487</v>
      </c>
      <c r="J16" s="44">
        <v>20</v>
      </c>
      <c r="K16" s="44">
        <v>11</v>
      </c>
      <c r="M16" s="54">
        <f t="shared" si="0"/>
        <v>74.7</v>
      </c>
      <c r="N16" s="54">
        <f t="shared" si="0"/>
        <v>64.099999999999994</v>
      </c>
      <c r="O16" s="54">
        <f t="shared" si="0"/>
        <v>54.15</v>
      </c>
      <c r="P16" s="54">
        <f t="shared" si="0"/>
        <v>43.5</v>
      </c>
      <c r="Q16" s="54">
        <f t="shared" si="0"/>
        <v>0</v>
      </c>
      <c r="S16" s="54">
        <f t="shared" si="1"/>
        <v>135.81818181818181</v>
      </c>
      <c r="T16" s="54">
        <f t="shared" si="1"/>
        <v>116.54545454545455</v>
      </c>
      <c r="U16" s="54">
        <f t="shared" si="1"/>
        <v>98.454545454545453</v>
      </c>
      <c r="V16" s="54">
        <f t="shared" si="1"/>
        <v>79.090909090909093</v>
      </c>
      <c r="W16" s="54">
        <f t="shared" si="1"/>
        <v>0</v>
      </c>
    </row>
    <row r="17" spans="1:23">
      <c r="B17" s="85" t="s">
        <v>505</v>
      </c>
      <c r="C17" s="87"/>
      <c r="I17" s="46" t="s">
        <v>488</v>
      </c>
      <c r="J17" s="44">
        <v>6</v>
      </c>
      <c r="K17" s="44">
        <v>4</v>
      </c>
      <c r="M17" s="54">
        <f t="shared" si="0"/>
        <v>113</v>
      </c>
      <c r="N17" s="54">
        <f t="shared" si="0"/>
        <v>97</v>
      </c>
      <c r="O17" s="54">
        <f t="shared" si="0"/>
        <v>82</v>
      </c>
      <c r="P17" s="54">
        <f t="shared" si="0"/>
        <v>65.833333333333329</v>
      </c>
      <c r="Q17" s="54">
        <f t="shared" si="0"/>
        <v>0</v>
      </c>
      <c r="S17" s="54">
        <f t="shared" si="1"/>
        <v>169.5</v>
      </c>
      <c r="T17" s="54">
        <f t="shared" si="1"/>
        <v>145.5</v>
      </c>
      <c r="U17" s="54">
        <f t="shared" si="1"/>
        <v>123</v>
      </c>
      <c r="V17" s="54">
        <f t="shared" si="1"/>
        <v>98.75</v>
      </c>
      <c r="W17" s="54">
        <f t="shared" si="1"/>
        <v>0</v>
      </c>
    </row>
    <row r="18" spans="1:23">
      <c r="A18" s="45" t="s">
        <v>480</v>
      </c>
      <c r="B18" s="43" t="s">
        <v>90</v>
      </c>
      <c r="C18" s="43" t="s">
        <v>91</v>
      </c>
      <c r="I18" s="46" t="s">
        <v>489</v>
      </c>
      <c r="J18" s="44">
        <v>19</v>
      </c>
      <c r="K18" s="44">
        <v>10</v>
      </c>
      <c r="M18" s="54">
        <f t="shared" si="0"/>
        <v>71.10526315789474</v>
      </c>
      <c r="N18" s="54">
        <f t="shared" si="0"/>
        <v>61</v>
      </c>
      <c r="O18" s="54">
        <f t="shared" si="0"/>
        <v>51.578947368421055</v>
      </c>
      <c r="P18" s="54">
        <f t="shared" si="0"/>
        <v>41.421052631578945</v>
      </c>
      <c r="Q18" s="54">
        <f t="shared" si="0"/>
        <v>11.368421052631579</v>
      </c>
      <c r="S18" s="54">
        <f t="shared" si="1"/>
        <v>135.1</v>
      </c>
      <c r="T18" s="54">
        <f t="shared" si="1"/>
        <v>115.9</v>
      </c>
      <c r="U18" s="54">
        <f t="shared" si="1"/>
        <v>98</v>
      </c>
      <c r="V18" s="54">
        <f t="shared" si="1"/>
        <v>78.7</v>
      </c>
      <c r="W18" s="54">
        <f t="shared" si="1"/>
        <v>21.6</v>
      </c>
    </row>
    <row r="19" spans="1:23">
      <c r="A19" s="46" t="s">
        <v>484</v>
      </c>
      <c r="B19" s="52">
        <v>0.60416666666666663</v>
      </c>
      <c r="C19" s="52">
        <v>0.82986111111111116</v>
      </c>
      <c r="D19" s="49" t="s">
        <v>506</v>
      </c>
      <c r="I19" s="46" t="s">
        <v>507</v>
      </c>
      <c r="J19" s="44">
        <f>SUM(J15:J18)</f>
        <v>60</v>
      </c>
      <c r="K19" s="44">
        <f>SUM(K15:K18)</f>
        <v>32</v>
      </c>
    </row>
    <row r="20" spans="1:23">
      <c r="A20" s="46" t="s">
        <v>487</v>
      </c>
      <c r="B20" s="52">
        <v>0.4236111111111111</v>
      </c>
      <c r="C20" s="52">
        <v>0.53472222222222221</v>
      </c>
      <c r="D20" s="49" t="s">
        <v>508</v>
      </c>
      <c r="S20" s="61"/>
    </row>
    <row r="21" spans="1:23">
      <c r="A21" s="46" t="s">
        <v>488</v>
      </c>
      <c r="B21" s="52">
        <v>0.41666666666666669</v>
      </c>
      <c r="C21" s="52">
        <v>0.77777777777777779</v>
      </c>
      <c r="D21" s="49" t="s">
        <v>509</v>
      </c>
    </row>
    <row r="22" spans="1:23">
      <c r="A22" s="46" t="s">
        <v>489</v>
      </c>
      <c r="B22" s="52">
        <v>0.60416666666666663</v>
      </c>
      <c r="C22" s="52">
        <v>0.84722222222222221</v>
      </c>
      <c r="D22" s="49" t="s">
        <v>510</v>
      </c>
      <c r="I22" s="42"/>
      <c r="J22" s="85" t="s">
        <v>511</v>
      </c>
      <c r="K22" s="86"/>
      <c r="L22" s="86"/>
      <c r="M22" s="86"/>
      <c r="N22" s="87"/>
      <c r="S22" s="85" t="s">
        <v>512</v>
      </c>
      <c r="T22" s="86"/>
      <c r="U22" s="86"/>
      <c r="V22" s="86"/>
      <c r="W22" s="87"/>
    </row>
    <row r="23" spans="1:23">
      <c r="A23" s="46" t="s">
        <v>507</v>
      </c>
      <c r="B23" s="52">
        <v>0.52430555555555558</v>
      </c>
      <c r="C23" s="52">
        <v>0.72916666666666663</v>
      </c>
      <c r="I23" s="45" t="s">
        <v>480</v>
      </c>
      <c r="J23" s="43" t="s">
        <v>500</v>
      </c>
      <c r="K23" s="43" t="s">
        <v>501</v>
      </c>
      <c r="L23" s="43" t="s">
        <v>502</v>
      </c>
      <c r="M23" s="43" t="s">
        <v>503</v>
      </c>
      <c r="N23" s="43" t="s">
        <v>504</v>
      </c>
      <c r="R23" s="45" t="s">
        <v>480</v>
      </c>
      <c r="S23" s="43" t="s">
        <v>500</v>
      </c>
      <c r="T23" s="43" t="s">
        <v>501</v>
      </c>
      <c r="U23" s="43" t="s">
        <v>502</v>
      </c>
      <c r="V23" s="43" t="s">
        <v>503</v>
      </c>
      <c r="W23" s="43" t="s">
        <v>504</v>
      </c>
    </row>
    <row r="24" spans="1:23">
      <c r="I24" s="46" t="s">
        <v>484</v>
      </c>
      <c r="J24" s="44">
        <f>ROUND(($J2/$J$7)*$B$2,0)</f>
        <v>852</v>
      </c>
      <c r="K24" s="44">
        <f>ROUND(($J2/$J$7)*$B$3,0)</f>
        <v>731</v>
      </c>
      <c r="L24" s="44">
        <f>ROUND(($J2/$J$7)*$B$4,0)</f>
        <v>618</v>
      </c>
      <c r="M24" s="44">
        <f>ROUND(($J2/$J$7)*$B$5,0)</f>
        <v>496</v>
      </c>
      <c r="N24" s="44">
        <v>138</v>
      </c>
      <c r="O24" s="47">
        <v>0.39</v>
      </c>
      <c r="R24" s="46" t="s">
        <v>484</v>
      </c>
      <c r="S24" s="46">
        <v>15</v>
      </c>
      <c r="T24" s="46">
        <v>15</v>
      </c>
      <c r="U24" s="46">
        <v>0</v>
      </c>
      <c r="V24" s="46">
        <v>15</v>
      </c>
      <c r="W24" s="46">
        <v>14</v>
      </c>
    </row>
    <row r="25" spans="1:23">
      <c r="I25" s="46" t="s">
        <v>487</v>
      </c>
      <c r="J25" s="44">
        <f>ROUND(($J3/$J$7)*$B$2,0)</f>
        <v>1494</v>
      </c>
      <c r="K25" s="44">
        <f>ROUND(($J3/$J$7)*$B$3,0)</f>
        <v>1282</v>
      </c>
      <c r="L25" s="44">
        <f>ROUND(($J3/$J$7)*$B$4,0)</f>
        <v>1083</v>
      </c>
      <c r="M25" s="44">
        <f>ROUND(($J3/$J$7)*$B$5,0)</f>
        <v>870</v>
      </c>
      <c r="N25" s="44">
        <v>0</v>
      </c>
      <c r="O25">
        <v>0</v>
      </c>
      <c r="R25" s="46" t="s">
        <v>487</v>
      </c>
      <c r="S25" s="46">
        <v>20</v>
      </c>
      <c r="T25" s="46">
        <v>20</v>
      </c>
      <c r="U25" s="46">
        <v>0</v>
      </c>
      <c r="V25" s="46">
        <v>20</v>
      </c>
      <c r="W25" s="46">
        <v>0</v>
      </c>
    </row>
    <row r="26" spans="1:23">
      <c r="I26" s="46" t="s">
        <v>488</v>
      </c>
      <c r="J26" s="44">
        <f>ROUND(($J4/$J$7)*$B$2,0)</f>
        <v>678</v>
      </c>
      <c r="K26" s="44">
        <f>ROUND(($J4/$J$7)*$B$3,0)</f>
        <v>582</v>
      </c>
      <c r="L26" s="44">
        <f>ROUND(($J4/$J$7)*$B$4,0)</f>
        <v>492</v>
      </c>
      <c r="M26" s="44">
        <f>ROUND(($J4/$J$7)*$B$5,0)</f>
        <v>395</v>
      </c>
      <c r="N26" s="44">
        <v>0</v>
      </c>
      <c r="O26">
        <v>0</v>
      </c>
      <c r="R26" s="46" t="s">
        <v>488</v>
      </c>
      <c r="S26" s="46">
        <v>6</v>
      </c>
      <c r="T26" s="46">
        <v>6</v>
      </c>
      <c r="U26" s="46">
        <v>0</v>
      </c>
      <c r="V26" s="46">
        <v>6</v>
      </c>
      <c r="W26" s="46">
        <v>0</v>
      </c>
    </row>
    <row r="27" spans="1:23">
      <c r="I27" s="46" t="s">
        <v>489</v>
      </c>
      <c r="J27" s="44">
        <f>ROUND(($J5/$J$7)*$B$2,0)</f>
        <v>1351</v>
      </c>
      <c r="K27" s="44">
        <f>ROUND(($J5/$J$7)*$B$3,0)</f>
        <v>1159</v>
      </c>
      <c r="L27" s="44">
        <f>ROUND(($J5/$J$7)*$B$4,0)</f>
        <v>980</v>
      </c>
      <c r="M27" s="44">
        <f>ROUND(($J5/$J$7)*$B$5,0)</f>
        <v>787</v>
      </c>
      <c r="N27" s="44">
        <f>354-N24</f>
        <v>216</v>
      </c>
      <c r="O27" s="47">
        <v>0.61</v>
      </c>
      <c r="R27" s="46" t="s">
        <v>489</v>
      </c>
      <c r="S27" s="46">
        <v>19</v>
      </c>
      <c r="T27" s="46">
        <v>19</v>
      </c>
      <c r="U27" s="46">
        <v>0</v>
      </c>
      <c r="V27" s="46">
        <v>19</v>
      </c>
      <c r="W27" s="46">
        <v>13</v>
      </c>
    </row>
    <row r="28" spans="1:23">
      <c r="I28" s="46" t="s">
        <v>490</v>
      </c>
      <c r="J28" s="44">
        <f>ROUND(($J6/$J$7)*$B$2,0)</f>
        <v>87</v>
      </c>
      <c r="K28" s="44">
        <f>ROUND(($J6/$J$7)*$B$3,0)</f>
        <v>75</v>
      </c>
      <c r="L28" s="44">
        <f>ROUND(($J6/$J$7)*$B$4,0)</f>
        <v>63</v>
      </c>
      <c r="M28" s="44">
        <f>ROUND(($J6/$J$7)*$B$5,0)</f>
        <v>51</v>
      </c>
      <c r="N28" s="44">
        <v>0</v>
      </c>
      <c r="O28">
        <v>0</v>
      </c>
      <c r="R28" s="46" t="s">
        <v>507</v>
      </c>
      <c r="S28" s="46">
        <v>60</v>
      </c>
      <c r="T28" s="46">
        <v>60</v>
      </c>
      <c r="U28" s="46">
        <v>0</v>
      </c>
      <c r="V28" s="46">
        <v>60</v>
      </c>
      <c r="W28" s="46">
        <v>27</v>
      </c>
    </row>
    <row r="29" spans="1:23">
      <c r="J29" t="s">
        <v>513</v>
      </c>
      <c r="U29" t="s">
        <v>514</v>
      </c>
    </row>
    <row r="30" spans="1:23">
      <c r="A30" t="s">
        <v>515</v>
      </c>
      <c r="B30">
        <v>29</v>
      </c>
      <c r="J30" s="85" t="s">
        <v>516</v>
      </c>
      <c r="K30" s="87"/>
      <c r="L30" s="85" t="s">
        <v>517</v>
      </c>
      <c r="M30" s="87"/>
    </row>
    <row r="31" spans="1:23">
      <c r="A31" t="s">
        <v>518</v>
      </c>
      <c r="B31">
        <v>4</v>
      </c>
      <c r="I31" s="57" t="s">
        <v>480</v>
      </c>
      <c r="J31" s="59" t="s">
        <v>90</v>
      </c>
      <c r="K31" s="43" t="s">
        <v>91</v>
      </c>
      <c r="L31" s="43" t="s">
        <v>90</v>
      </c>
      <c r="M31" s="43" t="s">
        <v>91</v>
      </c>
    </row>
    <row r="32" spans="1:23">
      <c r="I32" s="58" t="s">
        <v>484</v>
      </c>
      <c r="J32" s="44">
        <f t="shared" ref="J32:K36" si="2">5*$B$36*D42</f>
        <v>139.74375000000001</v>
      </c>
      <c r="K32" s="44">
        <f t="shared" si="2"/>
        <v>189.85874999999999</v>
      </c>
      <c r="L32" s="44">
        <f t="shared" ref="L32:M36" si="3">J32*$J15</f>
        <v>2096.15625</v>
      </c>
      <c r="M32" s="44">
        <f t="shared" si="3"/>
        <v>2847.8812499999999</v>
      </c>
      <c r="S32" s="85" t="s">
        <v>519</v>
      </c>
      <c r="T32" s="86"/>
      <c r="U32" s="86"/>
      <c r="V32" s="86"/>
      <c r="W32" s="87"/>
    </row>
    <row r="33" spans="1:24">
      <c r="A33" t="s">
        <v>520</v>
      </c>
      <c r="B33">
        <f>50/60</f>
        <v>0.83333333333333337</v>
      </c>
      <c r="I33" s="58" t="s">
        <v>487</v>
      </c>
      <c r="J33" s="44">
        <f t="shared" si="2"/>
        <v>97.820625000000007</v>
      </c>
      <c r="K33" s="44">
        <f t="shared" si="2"/>
        <v>123.36</v>
      </c>
      <c r="L33" s="44">
        <f t="shared" si="3"/>
        <v>1956.4125000000001</v>
      </c>
      <c r="M33" s="44">
        <f t="shared" si="3"/>
        <v>2467.1999999999998</v>
      </c>
      <c r="R33" s="45" t="s">
        <v>480</v>
      </c>
      <c r="S33" s="43" t="s">
        <v>500</v>
      </c>
      <c r="T33" s="43" t="s">
        <v>501</v>
      </c>
      <c r="U33" s="43" t="s">
        <v>502</v>
      </c>
      <c r="V33" s="43" t="s">
        <v>503</v>
      </c>
      <c r="W33" s="43" t="s">
        <v>504</v>
      </c>
      <c r="X33" s="55" t="s">
        <v>28</v>
      </c>
    </row>
    <row r="34" spans="1:24">
      <c r="A34" t="s">
        <v>521</v>
      </c>
      <c r="B34" s="50">
        <v>2313</v>
      </c>
      <c r="I34" s="58" t="s">
        <v>488</v>
      </c>
      <c r="J34" s="44">
        <f t="shared" si="2"/>
        <v>96.375</v>
      </c>
      <c r="K34" s="44">
        <f t="shared" si="2"/>
        <v>180.22125</v>
      </c>
      <c r="L34" s="44">
        <f t="shared" si="3"/>
        <v>578.25</v>
      </c>
      <c r="M34" s="44">
        <f t="shared" si="3"/>
        <v>1081.3274999999999</v>
      </c>
      <c r="R34" s="46" t="s">
        <v>484</v>
      </c>
      <c r="S34" s="44">
        <v>7</v>
      </c>
      <c r="T34" s="44">
        <v>7</v>
      </c>
      <c r="U34" s="46">
        <v>0</v>
      </c>
      <c r="V34" s="44">
        <v>7</v>
      </c>
      <c r="W34" s="46">
        <v>7</v>
      </c>
      <c r="X34" s="53">
        <f>SUM(S34:W34)</f>
        <v>28</v>
      </c>
    </row>
    <row r="35" spans="1:24">
      <c r="A35" t="s">
        <v>522</v>
      </c>
      <c r="B35">
        <f>B34/J19</f>
        <v>38.549999999999997</v>
      </c>
      <c r="C35" t="s">
        <v>523</v>
      </c>
      <c r="D35">
        <f>B34/K19</f>
        <v>72.28125</v>
      </c>
      <c r="E35" t="s">
        <v>524</v>
      </c>
      <c r="I35" s="58" t="s">
        <v>489</v>
      </c>
      <c r="J35" s="44">
        <f t="shared" si="2"/>
        <v>139.74375000000001</v>
      </c>
      <c r="K35" s="44">
        <f t="shared" si="2"/>
        <v>195.64125000000001</v>
      </c>
      <c r="L35" s="44">
        <f t="shared" si="3"/>
        <v>2655.1312499999999</v>
      </c>
      <c r="M35" s="44">
        <f t="shared" si="3"/>
        <v>3717.1837500000001</v>
      </c>
      <c r="R35" s="46" t="s">
        <v>487</v>
      </c>
      <c r="S35" s="44">
        <v>11</v>
      </c>
      <c r="T35" s="44">
        <v>11</v>
      </c>
      <c r="U35" s="46">
        <v>0</v>
      </c>
      <c r="V35" s="44">
        <v>11</v>
      </c>
      <c r="W35" s="46">
        <v>0</v>
      </c>
      <c r="X35" s="53">
        <f>SUM(S35:W35)</f>
        <v>33</v>
      </c>
    </row>
    <row r="36" spans="1:24">
      <c r="A36" t="s">
        <v>525</v>
      </c>
      <c r="B36">
        <f>B35/B31</f>
        <v>9.6374999999999993</v>
      </c>
      <c r="C36" t="s">
        <v>526</v>
      </c>
      <c r="D36">
        <f>D35/B31</f>
        <v>18.0703125</v>
      </c>
      <c r="I36" s="58" t="s">
        <v>507</v>
      </c>
      <c r="J36" s="44">
        <f t="shared" si="2"/>
        <v>121.4325</v>
      </c>
      <c r="K36" s="44">
        <f t="shared" si="2"/>
        <v>168.65625</v>
      </c>
      <c r="L36" s="44">
        <f t="shared" si="3"/>
        <v>7285.9500000000007</v>
      </c>
      <c r="M36" s="44">
        <f t="shared" si="3"/>
        <v>10119.375</v>
      </c>
      <c r="R36" s="46" t="s">
        <v>488</v>
      </c>
      <c r="S36" s="44">
        <v>4</v>
      </c>
      <c r="T36" s="44">
        <v>4</v>
      </c>
      <c r="U36" s="46">
        <v>0</v>
      </c>
      <c r="V36" s="44">
        <v>4</v>
      </c>
      <c r="W36" s="46">
        <v>0</v>
      </c>
      <c r="X36" s="53">
        <f>SUM(S36:W36)</f>
        <v>12</v>
      </c>
    </row>
    <row r="37" spans="1:24">
      <c r="A37" t="s">
        <v>527</v>
      </c>
      <c r="B37">
        <f>B36/2</f>
        <v>4.8187499999999996</v>
      </c>
      <c r="D37">
        <f>D36/2</f>
        <v>9.03515625</v>
      </c>
      <c r="R37" s="46" t="s">
        <v>489</v>
      </c>
      <c r="S37" s="44">
        <v>10</v>
      </c>
      <c r="T37" s="44">
        <v>10</v>
      </c>
      <c r="U37" s="46">
        <v>0</v>
      </c>
      <c r="V37" s="44">
        <v>10</v>
      </c>
      <c r="W37" s="46">
        <v>8</v>
      </c>
      <c r="X37" s="53">
        <f>SUM(S37:W37)</f>
        <v>38</v>
      </c>
    </row>
    <row r="38" spans="1:24">
      <c r="L38" t="s">
        <v>528</v>
      </c>
      <c r="R38" s="46" t="s">
        <v>507</v>
      </c>
      <c r="S38" s="46">
        <f>SUM(S34:S37)</f>
        <v>32</v>
      </c>
      <c r="T38" s="46">
        <f>SUM(T34:T37)</f>
        <v>32</v>
      </c>
      <c r="U38" s="46">
        <f>SUM(U34:U37)</f>
        <v>0</v>
      </c>
      <c r="V38" s="46">
        <f>SUM(V34:V37)</f>
        <v>32</v>
      </c>
      <c r="W38" s="46">
        <f>SUM(W34:W37)</f>
        <v>15</v>
      </c>
      <c r="X38" s="53">
        <f>SUM(S38:W38)</f>
        <v>111</v>
      </c>
    </row>
    <row r="39" spans="1:24">
      <c r="D39" t="s">
        <v>529</v>
      </c>
      <c r="G39" t="s">
        <v>513</v>
      </c>
      <c r="U39" t="s">
        <v>514</v>
      </c>
    </row>
    <row r="40" spans="1:24">
      <c r="B40" s="85" t="s">
        <v>530</v>
      </c>
      <c r="C40" s="87"/>
      <c r="D40" s="85" t="s">
        <v>531</v>
      </c>
      <c r="E40" s="87"/>
      <c r="G40" s="85" t="s">
        <v>516</v>
      </c>
      <c r="H40" s="87"/>
      <c r="I40" s="85" t="s">
        <v>532</v>
      </c>
      <c r="J40" s="87"/>
      <c r="L40" s="85" t="s">
        <v>516</v>
      </c>
      <c r="M40" s="87"/>
      <c r="N40" s="85" t="s">
        <v>532</v>
      </c>
      <c r="O40" s="87"/>
    </row>
    <row r="41" spans="1:24">
      <c r="A41" s="45" t="s">
        <v>480</v>
      </c>
      <c r="B41" s="43" t="s">
        <v>90</v>
      </c>
      <c r="C41" s="43" t="s">
        <v>91</v>
      </c>
      <c r="D41" s="43" t="s">
        <v>90</v>
      </c>
      <c r="E41" s="43" t="s">
        <v>91</v>
      </c>
      <c r="F41" s="43" t="s">
        <v>498</v>
      </c>
      <c r="G41" s="59" t="s">
        <v>90</v>
      </c>
      <c r="H41" s="43" t="s">
        <v>91</v>
      </c>
      <c r="I41" s="43" t="s">
        <v>90</v>
      </c>
      <c r="J41" s="43" t="s">
        <v>91</v>
      </c>
      <c r="K41" s="43" t="s">
        <v>499</v>
      </c>
      <c r="L41" s="59" t="s">
        <v>90</v>
      </c>
      <c r="M41" s="43" t="s">
        <v>91</v>
      </c>
      <c r="N41" s="43" t="s">
        <v>90</v>
      </c>
      <c r="O41" s="43" t="s">
        <v>91</v>
      </c>
    </row>
    <row r="42" spans="1:24">
      <c r="A42" s="46" t="s">
        <v>484</v>
      </c>
      <c r="B42" s="44">
        <v>14.5</v>
      </c>
      <c r="C42" s="44">
        <v>19.7</v>
      </c>
      <c r="D42" s="44">
        <f t="shared" ref="D42:E46" si="4">B42/5</f>
        <v>2.9</v>
      </c>
      <c r="E42" s="44">
        <f t="shared" si="4"/>
        <v>3.94</v>
      </c>
      <c r="F42" s="44">
        <v>15</v>
      </c>
      <c r="G42" s="44">
        <f t="shared" ref="G42:H46" si="5">5*$B$36*D42</f>
        <v>139.74375000000001</v>
      </c>
      <c r="H42" s="44">
        <f t="shared" si="5"/>
        <v>189.85874999999999</v>
      </c>
      <c r="I42" s="44">
        <f t="shared" ref="I42:J46" si="6">$F42*G42</f>
        <v>2096.15625</v>
      </c>
      <c r="J42" s="44">
        <f t="shared" si="6"/>
        <v>2847.8812499999999</v>
      </c>
      <c r="K42" s="44">
        <v>7</v>
      </c>
      <c r="L42">
        <f t="shared" ref="L42:M46" si="7">5*$D$37*D42</f>
        <v>131.009765625</v>
      </c>
      <c r="M42">
        <f t="shared" si="7"/>
        <v>177.99257812499999</v>
      </c>
      <c r="N42">
        <f t="shared" ref="N42:O46" si="8">L42*$K42</f>
        <v>917.068359375</v>
      </c>
      <c r="O42">
        <f t="shared" si="8"/>
        <v>1245.948046875</v>
      </c>
    </row>
    <row r="43" spans="1:24">
      <c r="A43" s="46" t="s">
        <v>487</v>
      </c>
      <c r="B43" s="44">
        <v>10.15</v>
      </c>
      <c r="C43" s="44">
        <v>12.8</v>
      </c>
      <c r="D43" s="44">
        <f t="shared" si="4"/>
        <v>2.0300000000000002</v>
      </c>
      <c r="E43" s="44">
        <f t="shared" si="4"/>
        <v>2.56</v>
      </c>
      <c r="F43" s="44">
        <v>20</v>
      </c>
      <c r="G43" s="44">
        <f t="shared" si="5"/>
        <v>97.820625000000007</v>
      </c>
      <c r="H43" s="44">
        <f t="shared" si="5"/>
        <v>123.36</v>
      </c>
      <c r="I43" s="44">
        <f t="shared" si="6"/>
        <v>1956.4125000000001</v>
      </c>
      <c r="J43" s="44">
        <f t="shared" si="6"/>
        <v>2467.1999999999998</v>
      </c>
      <c r="K43" s="44">
        <v>11</v>
      </c>
      <c r="L43">
        <f t="shared" si="7"/>
        <v>91.706835937500017</v>
      </c>
      <c r="M43">
        <f t="shared" si="7"/>
        <v>115.65</v>
      </c>
      <c r="N43">
        <f t="shared" si="8"/>
        <v>1008.7751953125002</v>
      </c>
      <c r="O43">
        <f t="shared" si="8"/>
        <v>1272.1500000000001</v>
      </c>
    </row>
    <row r="44" spans="1:24">
      <c r="A44" s="46" t="s">
        <v>488</v>
      </c>
      <c r="B44" s="44">
        <v>10</v>
      </c>
      <c r="C44" s="44">
        <v>18.7</v>
      </c>
      <c r="D44" s="44">
        <f t="shared" si="4"/>
        <v>2</v>
      </c>
      <c r="E44" s="44">
        <f t="shared" si="4"/>
        <v>3.7399999999999998</v>
      </c>
      <c r="F44" s="44">
        <v>6</v>
      </c>
      <c r="G44" s="44">
        <f t="shared" si="5"/>
        <v>96.375</v>
      </c>
      <c r="H44" s="44">
        <f t="shared" si="5"/>
        <v>180.22125</v>
      </c>
      <c r="I44" s="44">
        <f t="shared" si="6"/>
        <v>578.25</v>
      </c>
      <c r="J44" s="44">
        <f t="shared" si="6"/>
        <v>1081.3274999999999</v>
      </c>
      <c r="K44" s="44">
        <v>4</v>
      </c>
      <c r="L44">
        <f t="shared" si="7"/>
        <v>90.3515625</v>
      </c>
      <c r="M44">
        <f t="shared" si="7"/>
        <v>168.95742187499999</v>
      </c>
      <c r="N44">
        <f t="shared" si="8"/>
        <v>361.40625</v>
      </c>
      <c r="O44">
        <f t="shared" si="8"/>
        <v>675.82968749999998</v>
      </c>
    </row>
    <row r="45" spans="1:24">
      <c r="A45" s="46" t="s">
        <v>489</v>
      </c>
      <c r="B45" s="44">
        <v>14.5</v>
      </c>
      <c r="C45" s="44">
        <v>20.3</v>
      </c>
      <c r="D45" s="44">
        <f t="shared" si="4"/>
        <v>2.9</v>
      </c>
      <c r="E45" s="44">
        <f t="shared" si="4"/>
        <v>4.0600000000000005</v>
      </c>
      <c r="F45" s="44">
        <v>19</v>
      </c>
      <c r="G45" s="44">
        <f t="shared" si="5"/>
        <v>139.74375000000001</v>
      </c>
      <c r="H45" s="44">
        <f t="shared" si="5"/>
        <v>195.64125000000001</v>
      </c>
      <c r="I45" s="44">
        <f t="shared" si="6"/>
        <v>2655.1312499999999</v>
      </c>
      <c r="J45" s="44">
        <f t="shared" si="6"/>
        <v>3717.1837500000001</v>
      </c>
      <c r="K45" s="44">
        <v>10</v>
      </c>
      <c r="L45">
        <f t="shared" si="7"/>
        <v>131.009765625</v>
      </c>
      <c r="M45">
        <f t="shared" si="7"/>
        <v>183.41367187500003</v>
      </c>
      <c r="N45">
        <f t="shared" si="8"/>
        <v>1310.09765625</v>
      </c>
      <c r="O45">
        <f t="shared" si="8"/>
        <v>1834.1367187500005</v>
      </c>
    </row>
    <row r="46" spans="1:24">
      <c r="A46" s="46" t="s">
        <v>507</v>
      </c>
      <c r="B46" s="44">
        <v>12.6</v>
      </c>
      <c r="C46" s="44">
        <v>17.5</v>
      </c>
      <c r="D46" s="44">
        <f t="shared" si="4"/>
        <v>2.52</v>
      </c>
      <c r="E46" s="44">
        <f t="shared" si="4"/>
        <v>3.5</v>
      </c>
      <c r="F46" s="44">
        <f>SUM(F42:F45)</f>
        <v>60</v>
      </c>
      <c r="G46" s="44">
        <f t="shared" si="5"/>
        <v>121.4325</v>
      </c>
      <c r="H46" s="44">
        <f t="shared" si="5"/>
        <v>168.65625</v>
      </c>
      <c r="I46" s="44">
        <f t="shared" si="6"/>
        <v>7285.9500000000007</v>
      </c>
      <c r="J46" s="44">
        <f t="shared" si="6"/>
        <v>10119.375</v>
      </c>
      <c r="K46" s="44">
        <f>SUM(K42:K45)</f>
        <v>32</v>
      </c>
      <c r="L46">
        <f t="shared" si="7"/>
        <v>113.84296875</v>
      </c>
      <c r="M46">
        <f t="shared" si="7"/>
        <v>158.115234375</v>
      </c>
      <c r="N46">
        <f t="shared" si="8"/>
        <v>3642.9749999999999</v>
      </c>
      <c r="O46">
        <f t="shared" si="8"/>
        <v>5059.6875</v>
      </c>
    </row>
  </sheetData>
  <mergeCells count="14">
    <mergeCell ref="S13:W13"/>
    <mergeCell ref="L40:M40"/>
    <mergeCell ref="N40:O40"/>
    <mergeCell ref="S22:W22"/>
    <mergeCell ref="S32:W32"/>
    <mergeCell ref="J22:N22"/>
    <mergeCell ref="B17:C17"/>
    <mergeCell ref="B40:C40"/>
    <mergeCell ref="M13:Q13"/>
    <mergeCell ref="D40:E40"/>
    <mergeCell ref="J30:K30"/>
    <mergeCell ref="L30:M30"/>
    <mergeCell ref="G40:H40"/>
    <mergeCell ref="I40:J40"/>
  </mergeCells>
  <hyperlinks>
    <hyperlink ref="D19" r:id="rId1" xr:uid="{00000000-0004-0000-0500-000000000000}"/>
    <hyperlink ref="D20" r:id="rId2" xr:uid="{00000000-0004-0000-0500-000001000000}"/>
    <hyperlink ref="D21" r:id="rId3" xr:uid="{00000000-0004-0000-0500-000002000000}"/>
    <hyperlink ref="D22" r:id="rId4" xr:uid="{00000000-0004-0000-0500-000003000000}"/>
  </hyperlinks>
  <pageMargins left="0.7" right="0.7" top="0.75" bottom="0.75" header="0.3" footer="0.3"/>
  <drawing r:id="rId5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X49"/>
  <sheetViews>
    <sheetView workbookViewId="0">
      <selection activeCell="F53" sqref="F53"/>
    </sheetView>
  </sheetViews>
  <sheetFormatPr baseColWidth="10" defaultRowHeight="16"/>
  <cols>
    <col min="1" max="1" width="25.5" bestFit="1" customWidth="1"/>
    <col min="2" max="3" width="15" customWidth="1"/>
    <col min="4" max="4" width="12.83203125" bestFit="1" customWidth="1"/>
    <col min="5" max="5" width="14.5" bestFit="1" customWidth="1"/>
    <col min="6" max="6" width="42.5" bestFit="1" customWidth="1"/>
    <col min="9" max="9" width="25.5" bestFit="1" customWidth="1"/>
    <col min="18" max="18" width="25.5" bestFit="1" customWidth="1"/>
  </cols>
  <sheetData>
    <row r="1" spans="1:23">
      <c r="A1" s="43" t="s">
        <v>475</v>
      </c>
      <c r="B1" s="43" t="s">
        <v>476</v>
      </c>
      <c r="D1" s="43" t="s">
        <v>477</v>
      </c>
      <c r="E1" s="43" t="s">
        <v>478</v>
      </c>
      <c r="F1" t="s">
        <v>479</v>
      </c>
      <c r="I1" s="42" t="s">
        <v>480</v>
      </c>
      <c r="J1" s="42" t="s">
        <v>481</v>
      </c>
      <c r="K1" s="42" t="s">
        <v>423</v>
      </c>
    </row>
    <row r="2" spans="1:23">
      <c r="A2" s="44">
        <v>1</v>
      </c>
      <c r="B2" s="44">
        <v>4463</v>
      </c>
      <c r="C2">
        <f>B2/$B$7</f>
        <v>0.39688750555802577</v>
      </c>
      <c r="D2" s="44" t="s">
        <v>482</v>
      </c>
      <c r="E2" s="44">
        <v>3220</v>
      </c>
      <c r="F2" t="s">
        <v>483</v>
      </c>
      <c r="G2">
        <f>ROUNDUP(E2*0.9,-1)</f>
        <v>2900</v>
      </c>
      <c r="I2" t="s">
        <v>484</v>
      </c>
      <c r="J2">
        <v>3806</v>
      </c>
      <c r="K2">
        <f>ROUND((J2/$J$7)*100,0)</f>
        <v>19</v>
      </c>
    </row>
    <row r="3" spans="1:23">
      <c r="A3" s="44">
        <v>2</v>
      </c>
      <c r="B3" s="44">
        <v>3829</v>
      </c>
      <c r="C3">
        <f>B3/$B$7</f>
        <v>0.34050689195197864</v>
      </c>
      <c r="D3" s="44" t="s">
        <v>485</v>
      </c>
      <c r="E3" s="44">
        <f>E4-E2</f>
        <v>611</v>
      </c>
      <c r="F3" t="s">
        <v>486</v>
      </c>
      <c r="G3">
        <f>ROUND(G2/B2 * 100,0)</f>
        <v>65</v>
      </c>
      <c r="I3" t="s">
        <v>487</v>
      </c>
      <c r="J3">
        <v>6670</v>
      </c>
      <c r="K3">
        <f>ROUND((J3/$J$7)*100,0)</f>
        <v>33</v>
      </c>
    </row>
    <row r="4" spans="1:23">
      <c r="A4" s="44">
        <v>3</v>
      </c>
      <c r="B4" s="44">
        <v>0</v>
      </c>
      <c r="C4">
        <f>B4/$B$7</f>
        <v>0</v>
      </c>
      <c r="D4" s="43" t="s">
        <v>28</v>
      </c>
      <c r="E4" s="43">
        <v>3831</v>
      </c>
      <c r="I4" t="s">
        <v>488</v>
      </c>
      <c r="J4">
        <v>3029</v>
      </c>
      <c r="K4">
        <f>ROUND((J4/$J$7)*100,0)</f>
        <v>15</v>
      </c>
    </row>
    <row r="5" spans="1:23">
      <c r="A5" s="44">
        <v>4</v>
      </c>
      <c r="B5" s="44">
        <v>2599</v>
      </c>
      <c r="C5">
        <f>B5/$B$7</f>
        <v>0.2311249444197421</v>
      </c>
      <c r="I5" t="s">
        <v>489</v>
      </c>
      <c r="J5">
        <v>6033</v>
      </c>
      <c r="K5">
        <f>ROUND((J5/$J$7)*100,0)</f>
        <v>30</v>
      </c>
    </row>
    <row r="6" spans="1:23">
      <c r="A6" s="44">
        <v>5</v>
      </c>
      <c r="B6" s="44">
        <v>354</v>
      </c>
      <c r="C6">
        <f>B6/$B$7</f>
        <v>3.1480658070253444E-2</v>
      </c>
      <c r="I6" t="s">
        <v>490</v>
      </c>
      <c r="J6">
        <v>388</v>
      </c>
      <c r="K6">
        <f>ROUND((J6/$J$7)*100,0)</f>
        <v>2</v>
      </c>
    </row>
    <row r="7" spans="1:23">
      <c r="A7" s="43" t="s">
        <v>28</v>
      </c>
      <c r="B7" s="43">
        <f>SUM(B2:B6)</f>
        <v>11245</v>
      </c>
      <c r="I7" s="42" t="s">
        <v>28</v>
      </c>
      <c r="J7" s="42">
        <f>SUM(J2:J6)</f>
        <v>19926</v>
      </c>
      <c r="K7" s="42"/>
    </row>
    <row r="8" spans="1:23">
      <c r="A8" t="s">
        <v>491</v>
      </c>
    </row>
    <row r="11" spans="1:23">
      <c r="A11" s="45" t="s">
        <v>492</v>
      </c>
      <c r="B11" s="45" t="s">
        <v>423</v>
      </c>
    </row>
    <row r="12" spans="1:23">
      <c r="A12" s="45" t="s">
        <v>493</v>
      </c>
      <c r="B12" s="48">
        <v>0.7</v>
      </c>
    </row>
    <row r="13" spans="1:23">
      <c r="A13" s="45" t="s">
        <v>494</v>
      </c>
      <c r="B13" s="48">
        <v>0.21</v>
      </c>
      <c r="M13" s="85" t="s">
        <v>495</v>
      </c>
      <c r="N13" s="86"/>
      <c r="O13" s="86"/>
      <c r="P13" s="86"/>
      <c r="Q13" s="87"/>
      <c r="S13" s="85" t="s">
        <v>496</v>
      </c>
      <c r="T13" s="86"/>
      <c r="U13" s="86"/>
      <c r="V13" s="86"/>
      <c r="W13" s="87"/>
    </row>
    <row r="14" spans="1:23">
      <c r="A14" s="45" t="s">
        <v>497</v>
      </c>
      <c r="B14" s="48">
        <v>0.09</v>
      </c>
      <c r="I14" s="45" t="s">
        <v>480</v>
      </c>
      <c r="J14" s="43" t="s">
        <v>498</v>
      </c>
      <c r="K14" s="43" t="s">
        <v>499</v>
      </c>
      <c r="M14" s="43" t="s">
        <v>500</v>
      </c>
      <c r="N14" s="43" t="s">
        <v>501</v>
      </c>
      <c r="O14" s="43" t="s">
        <v>502</v>
      </c>
      <c r="P14" s="43" t="s">
        <v>503</v>
      </c>
      <c r="Q14" s="43" t="s">
        <v>504</v>
      </c>
      <c r="S14" s="43" t="s">
        <v>500</v>
      </c>
      <c r="T14" s="43" t="s">
        <v>501</v>
      </c>
      <c r="U14" s="43" t="s">
        <v>502</v>
      </c>
      <c r="V14" s="43" t="s">
        <v>503</v>
      </c>
      <c r="W14" s="43" t="s">
        <v>504</v>
      </c>
    </row>
    <row r="15" spans="1:23">
      <c r="I15" s="46" t="s">
        <v>484</v>
      </c>
      <c r="J15" s="44">
        <v>15</v>
      </c>
      <c r="K15" s="44">
        <v>7</v>
      </c>
      <c r="M15" s="54">
        <f t="shared" ref="M15:N18" si="0">J24/S24</f>
        <v>56.8</v>
      </c>
      <c r="N15" s="54">
        <f t="shared" si="0"/>
        <v>48.733333333333334</v>
      </c>
      <c r="O15" s="54">
        <v>0</v>
      </c>
      <c r="P15" s="54">
        <f>M24/V24</f>
        <v>33.06666666666667</v>
      </c>
      <c r="Q15" s="54">
        <f>N24/W24</f>
        <v>9.8571428571428577</v>
      </c>
      <c r="S15" s="54">
        <f t="shared" ref="S15:T18" si="1">J24/S34</f>
        <v>121.71428571428571</v>
      </c>
      <c r="T15" s="54">
        <f t="shared" si="1"/>
        <v>104.42857142857143</v>
      </c>
      <c r="U15" s="54">
        <v>0</v>
      </c>
      <c r="V15" s="54">
        <f>M24/V34</f>
        <v>70.857142857142861</v>
      </c>
      <c r="W15" s="54">
        <f>N24/W34</f>
        <v>19.714285714285715</v>
      </c>
    </row>
    <row r="16" spans="1:23">
      <c r="I16" s="46" t="s">
        <v>487</v>
      </c>
      <c r="J16" s="44">
        <v>20</v>
      </c>
      <c r="K16" s="44">
        <v>11</v>
      </c>
      <c r="M16" s="54">
        <f t="shared" si="0"/>
        <v>74.7</v>
      </c>
      <c r="N16" s="54">
        <f t="shared" si="0"/>
        <v>64.099999999999994</v>
      </c>
      <c r="O16" s="54">
        <v>0</v>
      </c>
      <c r="P16" s="54">
        <f>M25/V25</f>
        <v>43.5</v>
      </c>
      <c r="Q16" s="54">
        <v>0</v>
      </c>
      <c r="S16" s="54">
        <f t="shared" si="1"/>
        <v>135.81818181818181</v>
      </c>
      <c r="T16" s="54">
        <f t="shared" si="1"/>
        <v>116.54545454545455</v>
      </c>
      <c r="U16" s="54">
        <v>0</v>
      </c>
      <c r="V16" s="54">
        <f>M25/V35</f>
        <v>79.090909090909093</v>
      </c>
      <c r="W16" s="54">
        <v>0</v>
      </c>
    </row>
    <row r="17" spans="1:23">
      <c r="B17" s="85" t="s">
        <v>505</v>
      </c>
      <c r="C17" s="87"/>
      <c r="I17" s="46" t="s">
        <v>488</v>
      </c>
      <c r="J17" s="44">
        <v>6</v>
      </c>
      <c r="K17" s="44">
        <v>4</v>
      </c>
      <c r="M17" s="54">
        <f t="shared" si="0"/>
        <v>113</v>
      </c>
      <c r="N17" s="54">
        <f t="shared" si="0"/>
        <v>97</v>
      </c>
      <c r="O17" s="54">
        <v>0</v>
      </c>
      <c r="P17" s="54">
        <f>M26/V26</f>
        <v>65.833333333333329</v>
      </c>
      <c r="Q17" s="54">
        <v>0</v>
      </c>
      <c r="S17" s="54">
        <f t="shared" si="1"/>
        <v>169.5</v>
      </c>
      <c r="T17" s="54">
        <f t="shared" si="1"/>
        <v>145.5</v>
      </c>
      <c r="U17" s="54">
        <v>0</v>
      </c>
      <c r="V17" s="54">
        <f>M26/V36</f>
        <v>98.75</v>
      </c>
      <c r="W17" s="54">
        <v>0</v>
      </c>
    </row>
    <row r="18" spans="1:23">
      <c r="A18" s="45" t="s">
        <v>480</v>
      </c>
      <c r="B18" s="43" t="s">
        <v>90</v>
      </c>
      <c r="C18" s="43" t="s">
        <v>91</v>
      </c>
      <c r="I18" s="46" t="s">
        <v>489</v>
      </c>
      <c r="J18" s="44">
        <v>19</v>
      </c>
      <c r="K18" s="44">
        <v>10</v>
      </c>
      <c r="M18" s="54">
        <f t="shared" si="0"/>
        <v>71.10526315789474</v>
      </c>
      <c r="N18" s="54">
        <f t="shared" si="0"/>
        <v>61</v>
      </c>
      <c r="O18" s="54">
        <v>0</v>
      </c>
      <c r="P18" s="54">
        <f>M27/V27</f>
        <v>41.421052631578945</v>
      </c>
      <c r="Q18" s="54">
        <f>N27/W27</f>
        <v>16.615384615384617</v>
      </c>
      <c r="S18" s="54">
        <f t="shared" si="1"/>
        <v>135.1</v>
      </c>
      <c r="T18" s="54">
        <f t="shared" si="1"/>
        <v>115.9</v>
      </c>
      <c r="U18" s="54">
        <v>0</v>
      </c>
      <c r="V18" s="54">
        <f>M27/V37</f>
        <v>78.7</v>
      </c>
      <c r="W18" s="54">
        <f>N27/W37</f>
        <v>27</v>
      </c>
    </row>
    <row r="19" spans="1:23">
      <c r="A19" s="46" t="s">
        <v>484</v>
      </c>
      <c r="B19" s="52">
        <v>0.60416666666666663</v>
      </c>
      <c r="C19" s="52">
        <v>0.82986111111111116</v>
      </c>
      <c r="D19" s="49" t="s">
        <v>506</v>
      </c>
      <c r="I19" s="46" t="s">
        <v>507</v>
      </c>
      <c r="J19" s="44">
        <f>SUM(J15:J18)</f>
        <v>60</v>
      </c>
      <c r="K19" s="44">
        <f>SUM(K15:K18)</f>
        <v>32</v>
      </c>
    </row>
    <row r="20" spans="1:23">
      <c r="A20" s="46" t="s">
        <v>487</v>
      </c>
      <c r="B20" s="52">
        <v>0.4236111111111111</v>
      </c>
      <c r="C20" s="52">
        <v>0.53472222222222221</v>
      </c>
      <c r="D20" s="49" t="s">
        <v>508</v>
      </c>
      <c r="S20" s="61"/>
    </row>
    <row r="21" spans="1:23">
      <c r="A21" s="46" t="s">
        <v>488</v>
      </c>
      <c r="B21" s="52">
        <v>0.41666666666666669</v>
      </c>
      <c r="C21" s="52">
        <v>0.77777777777777779</v>
      </c>
      <c r="D21" s="49" t="s">
        <v>509</v>
      </c>
    </row>
    <row r="22" spans="1:23">
      <c r="A22" s="46" t="s">
        <v>489</v>
      </c>
      <c r="B22" s="52">
        <v>0.60416666666666663</v>
      </c>
      <c r="C22" s="52">
        <v>0.84722222222222221</v>
      </c>
      <c r="D22" s="49" t="s">
        <v>510</v>
      </c>
      <c r="I22" s="42"/>
      <c r="J22" s="85" t="s">
        <v>511</v>
      </c>
      <c r="K22" s="86"/>
      <c r="L22" s="86"/>
      <c r="M22" s="86"/>
      <c r="N22" s="87"/>
      <c r="S22" s="85" t="s">
        <v>512</v>
      </c>
      <c r="T22" s="86"/>
      <c r="U22" s="86"/>
      <c r="V22" s="86"/>
      <c r="W22" s="87"/>
    </row>
    <row r="23" spans="1:23">
      <c r="A23" s="46" t="s">
        <v>507</v>
      </c>
      <c r="B23" s="52">
        <v>0.52430555555555558</v>
      </c>
      <c r="C23" s="52">
        <v>0.72916666666666663</v>
      </c>
      <c r="I23" s="45" t="s">
        <v>480</v>
      </c>
      <c r="J23" s="43" t="s">
        <v>500</v>
      </c>
      <c r="K23" s="43" t="s">
        <v>501</v>
      </c>
      <c r="L23" s="43" t="s">
        <v>502</v>
      </c>
      <c r="M23" s="43" t="s">
        <v>503</v>
      </c>
      <c r="N23" s="43" t="s">
        <v>504</v>
      </c>
      <c r="R23" s="45" t="s">
        <v>480</v>
      </c>
      <c r="S23" s="43" t="s">
        <v>500</v>
      </c>
      <c r="T23" s="43" t="s">
        <v>501</v>
      </c>
      <c r="U23" s="43" t="s">
        <v>502</v>
      </c>
      <c r="V23" s="43" t="s">
        <v>503</v>
      </c>
      <c r="W23" s="43" t="s">
        <v>504</v>
      </c>
    </row>
    <row r="24" spans="1:23">
      <c r="A24" s="53" t="s">
        <v>758</v>
      </c>
      <c r="I24" s="46" t="s">
        <v>484</v>
      </c>
      <c r="J24" s="44">
        <f>ROUND(($J2/$J$7)*$B$2,0)</f>
        <v>852</v>
      </c>
      <c r="K24" s="44">
        <f>ROUND(($J2/$J$7)*$B$3,0)</f>
        <v>731</v>
      </c>
      <c r="L24" s="44">
        <f>ROUND(($J2/$J$7)*$B$4,0)</f>
        <v>0</v>
      </c>
      <c r="M24" s="44">
        <f>ROUND(($J2/$J$7)*$B$5,0)</f>
        <v>496</v>
      </c>
      <c r="N24" s="44">
        <v>138</v>
      </c>
      <c r="O24" s="47">
        <v>0.39</v>
      </c>
      <c r="R24" s="46" t="s">
        <v>484</v>
      </c>
      <c r="S24" s="46">
        <v>15</v>
      </c>
      <c r="T24" s="46">
        <v>15</v>
      </c>
      <c r="U24" s="46">
        <v>0</v>
      </c>
      <c r="V24" s="46">
        <v>15</v>
      </c>
      <c r="W24" s="46">
        <v>14</v>
      </c>
    </row>
    <row r="25" spans="1:23">
      <c r="B25" s="1">
        <f>(B19*0.19)+B20*0.35+B21*0.15+B22*0.3</f>
        <v>0.50680555555555551</v>
      </c>
      <c r="C25" s="1">
        <f>(C19*0.19)+C20*0.35+C21*0.15+C22*0.3</f>
        <v>0.71565972222222218</v>
      </c>
      <c r="I25" s="46" t="s">
        <v>487</v>
      </c>
      <c r="J25" s="44">
        <f>ROUND(($J3/$J$7)*$B$2,0)</f>
        <v>1494</v>
      </c>
      <c r="K25" s="44">
        <f>ROUND(($J3/$J$7)*$B$3,0)</f>
        <v>1282</v>
      </c>
      <c r="L25" s="44">
        <f>ROUND(($J3/$J$7)*$B$4,0)</f>
        <v>0</v>
      </c>
      <c r="M25" s="44">
        <f>ROUND(($J3/$J$7)*$B$5,0)</f>
        <v>870</v>
      </c>
      <c r="N25" s="44">
        <v>0</v>
      </c>
      <c r="O25">
        <v>0</v>
      </c>
      <c r="R25" s="46" t="s">
        <v>487</v>
      </c>
      <c r="S25" s="46">
        <v>20</v>
      </c>
      <c r="T25" s="46">
        <v>20</v>
      </c>
      <c r="U25" s="46">
        <v>0</v>
      </c>
      <c r="V25" s="46">
        <v>20</v>
      </c>
      <c r="W25" s="46">
        <v>0</v>
      </c>
    </row>
    <row r="26" spans="1:23">
      <c r="I26" s="46" t="s">
        <v>488</v>
      </c>
      <c r="J26" s="44">
        <f>ROUND(($J4/$J$7)*$B$2,0)</f>
        <v>678</v>
      </c>
      <c r="K26" s="44">
        <f>ROUND(($J4/$J$7)*$B$3,0)</f>
        <v>582</v>
      </c>
      <c r="L26" s="44">
        <f>ROUND(($J4/$J$7)*$B$4,0)</f>
        <v>0</v>
      </c>
      <c r="M26" s="44">
        <f>ROUND(($J4/$J$7)*$B$5,0)</f>
        <v>395</v>
      </c>
      <c r="N26" s="44">
        <v>0</v>
      </c>
      <c r="O26">
        <v>0</v>
      </c>
      <c r="R26" s="46" t="s">
        <v>488</v>
      </c>
      <c r="S26" s="46">
        <v>6</v>
      </c>
      <c r="T26" s="46">
        <v>6</v>
      </c>
      <c r="U26" s="46">
        <v>0</v>
      </c>
      <c r="V26" s="46">
        <v>6</v>
      </c>
      <c r="W26" s="46">
        <v>0</v>
      </c>
    </row>
    <row r="27" spans="1:23">
      <c r="I27" s="46" t="s">
        <v>489</v>
      </c>
      <c r="J27" s="44">
        <f>ROUND(($J5/$J$7)*$B$2,0)</f>
        <v>1351</v>
      </c>
      <c r="K27" s="44">
        <f>ROUND(($J5/$J$7)*$B$3,0)</f>
        <v>1159</v>
      </c>
      <c r="L27" s="44">
        <f>ROUND(($J5/$J$7)*$B$4,0)</f>
        <v>0</v>
      </c>
      <c r="M27" s="44">
        <f>ROUND(($J5/$J$7)*$B$5,0)</f>
        <v>787</v>
      </c>
      <c r="N27" s="44">
        <f>354-N24</f>
        <v>216</v>
      </c>
      <c r="O27" s="47">
        <v>0.61</v>
      </c>
      <c r="R27" s="46" t="s">
        <v>489</v>
      </c>
      <c r="S27" s="46">
        <v>19</v>
      </c>
      <c r="T27" s="46">
        <v>19</v>
      </c>
      <c r="U27" s="46">
        <v>0</v>
      </c>
      <c r="V27" s="46">
        <v>19</v>
      </c>
      <c r="W27" s="46">
        <v>13</v>
      </c>
    </row>
    <row r="28" spans="1:23">
      <c r="I28" s="63" t="s">
        <v>490</v>
      </c>
      <c r="J28" s="64">
        <f>ROUND(($J6/$J$7)*$B$2,0)</f>
        <v>87</v>
      </c>
      <c r="K28" s="64">
        <f>ROUND(($J6/$J$7)*$B$3,0)</f>
        <v>75</v>
      </c>
      <c r="L28" s="64">
        <f>ROUND(($J6/$J$7)*$B$4,0)</f>
        <v>0</v>
      </c>
      <c r="M28" s="64">
        <f>ROUND(($J6/$J$7)*$B$5,0)</f>
        <v>51</v>
      </c>
      <c r="N28" s="44">
        <v>0</v>
      </c>
      <c r="O28">
        <v>0</v>
      </c>
      <c r="R28" s="46" t="s">
        <v>507</v>
      </c>
      <c r="S28" s="46">
        <v>60</v>
      </c>
      <c r="T28" s="46">
        <v>60</v>
      </c>
      <c r="U28" s="46">
        <v>0</v>
      </c>
      <c r="V28" s="46">
        <v>60</v>
      </c>
      <c r="W28" s="46">
        <v>27</v>
      </c>
    </row>
    <row r="29" spans="1:23">
      <c r="U29" t="s">
        <v>514</v>
      </c>
    </row>
    <row r="30" spans="1:23">
      <c r="A30" t="s">
        <v>515</v>
      </c>
      <c r="B30">
        <v>29</v>
      </c>
      <c r="J30" s="88"/>
      <c r="K30" s="89"/>
      <c r="L30" s="88"/>
      <c r="M30" s="89"/>
    </row>
    <row r="31" spans="1:23">
      <c r="A31" t="s">
        <v>518</v>
      </c>
      <c r="B31">
        <v>4</v>
      </c>
      <c r="I31" s="42"/>
      <c r="J31" s="62"/>
      <c r="K31" s="60"/>
      <c r="L31" s="60"/>
      <c r="M31" s="60"/>
    </row>
    <row r="32" spans="1:23">
      <c r="J32" s="50"/>
      <c r="K32" s="50"/>
      <c r="L32" s="50"/>
      <c r="M32" s="50"/>
      <c r="S32" s="85" t="s">
        <v>519</v>
      </c>
      <c r="T32" s="86"/>
      <c r="U32" s="86"/>
      <c r="V32" s="86"/>
      <c r="W32" s="87"/>
    </row>
    <row r="33" spans="1:24">
      <c r="J33" s="50"/>
      <c r="K33" s="50"/>
      <c r="L33" s="50"/>
      <c r="M33" s="50"/>
      <c r="R33" s="45" t="s">
        <v>480</v>
      </c>
      <c r="S33" s="43" t="s">
        <v>500</v>
      </c>
      <c r="T33" s="43" t="s">
        <v>501</v>
      </c>
      <c r="U33" s="43" t="s">
        <v>502</v>
      </c>
      <c r="V33" s="43" t="s">
        <v>503</v>
      </c>
      <c r="W33" s="43" t="s">
        <v>504</v>
      </c>
      <c r="X33" s="55" t="s">
        <v>28</v>
      </c>
    </row>
    <row r="34" spans="1:24">
      <c r="A34" t="s">
        <v>521</v>
      </c>
      <c r="B34" s="50">
        <v>2313</v>
      </c>
      <c r="C34">
        <f>B34/2</f>
        <v>1156.5</v>
      </c>
      <c r="J34" s="50"/>
      <c r="K34" s="50"/>
      <c r="L34" s="50"/>
      <c r="M34" s="50"/>
      <c r="R34" s="46" t="s">
        <v>484</v>
      </c>
      <c r="S34" s="44">
        <v>7</v>
      </c>
      <c r="T34" s="44">
        <v>7</v>
      </c>
      <c r="U34" s="46">
        <v>0</v>
      </c>
      <c r="V34" s="44">
        <v>7</v>
      </c>
      <c r="W34" s="46">
        <v>7</v>
      </c>
      <c r="X34" s="53">
        <f>SUM(S34:W34)</f>
        <v>28</v>
      </c>
    </row>
    <row r="35" spans="1:24">
      <c r="A35" t="s">
        <v>759</v>
      </c>
      <c r="B35">
        <f>X38</f>
        <v>111</v>
      </c>
      <c r="J35" s="50"/>
      <c r="K35" s="50"/>
      <c r="L35" s="50"/>
      <c r="M35" s="50"/>
      <c r="R35" s="46" t="s">
        <v>487</v>
      </c>
      <c r="S35" s="44">
        <v>11</v>
      </c>
      <c r="T35" s="44">
        <v>11</v>
      </c>
      <c r="U35" s="46">
        <v>0</v>
      </c>
      <c r="V35" s="44">
        <v>11</v>
      </c>
      <c r="W35" s="46">
        <v>0</v>
      </c>
      <c r="X35" s="53">
        <f>SUM(S35:W35)</f>
        <v>33</v>
      </c>
    </row>
    <row r="36" spans="1:24">
      <c r="A36" t="s">
        <v>760</v>
      </c>
      <c r="B36">
        <f>ROUNDDOWN(B34/B35,0)</f>
        <v>20</v>
      </c>
      <c r="J36" s="50"/>
      <c r="K36" s="50"/>
      <c r="L36" s="50"/>
      <c r="M36" s="50"/>
      <c r="R36" s="46" t="s">
        <v>488</v>
      </c>
      <c r="S36" s="44">
        <v>4</v>
      </c>
      <c r="T36" s="44">
        <v>4</v>
      </c>
      <c r="U36" s="46">
        <v>0</v>
      </c>
      <c r="V36" s="44">
        <v>4</v>
      </c>
      <c r="W36" s="46">
        <v>0</v>
      </c>
      <c r="X36" s="53">
        <f>SUM(S36:W36)</f>
        <v>12</v>
      </c>
    </row>
    <row r="37" spans="1:24">
      <c r="A37" t="s">
        <v>761</v>
      </c>
      <c r="B37">
        <f>B36/2</f>
        <v>10</v>
      </c>
      <c r="R37" s="46" t="s">
        <v>489</v>
      </c>
      <c r="S37" s="44">
        <v>10</v>
      </c>
      <c r="T37" s="44">
        <v>10</v>
      </c>
      <c r="U37" s="46">
        <v>0</v>
      </c>
      <c r="V37" s="44">
        <v>10</v>
      </c>
      <c r="W37" s="46">
        <v>8</v>
      </c>
      <c r="X37" s="53">
        <f>SUM(S37:W37)</f>
        <v>38</v>
      </c>
    </row>
    <row r="38" spans="1:24">
      <c r="R38" s="46" t="s">
        <v>507</v>
      </c>
      <c r="S38" s="46">
        <f>SUM(S34:S37)</f>
        <v>32</v>
      </c>
      <c r="T38" s="46">
        <f>SUM(T34:T37)</f>
        <v>32</v>
      </c>
      <c r="U38" s="46">
        <f>SUM(U34:U37)</f>
        <v>0</v>
      </c>
      <c r="V38" s="46">
        <f>SUM(V34:V37)</f>
        <v>32</v>
      </c>
      <c r="W38" s="46">
        <f>SUM(W34:W37)</f>
        <v>15</v>
      </c>
      <c r="X38" s="53">
        <f>SUM(S38:W38)</f>
        <v>111</v>
      </c>
    </row>
    <row r="39" spans="1:24">
      <c r="D39" t="s">
        <v>762</v>
      </c>
      <c r="F39" t="s">
        <v>763</v>
      </c>
      <c r="H39" t="s">
        <v>764</v>
      </c>
      <c r="U39" t="s">
        <v>514</v>
      </c>
    </row>
    <row r="40" spans="1:24">
      <c r="B40" s="85" t="s">
        <v>530</v>
      </c>
      <c r="C40" s="87"/>
      <c r="D40" s="85" t="s">
        <v>531</v>
      </c>
      <c r="E40" s="87"/>
      <c r="F40" s="96" t="s">
        <v>765</v>
      </c>
      <c r="G40" s="97"/>
      <c r="H40" s="88" t="s">
        <v>766</v>
      </c>
      <c r="I40" s="89"/>
      <c r="J40" s="42"/>
      <c r="L40" s="42"/>
      <c r="M40" s="42"/>
      <c r="N40" s="42"/>
      <c r="O40" s="42"/>
    </row>
    <row r="41" spans="1:24">
      <c r="A41" s="45" t="s">
        <v>480</v>
      </c>
      <c r="B41" s="43" t="s">
        <v>90</v>
      </c>
      <c r="C41" s="43" t="s">
        <v>91</v>
      </c>
      <c r="D41" s="43" t="s">
        <v>90</v>
      </c>
      <c r="E41" s="56" t="s">
        <v>91</v>
      </c>
      <c r="F41" s="43" t="s">
        <v>90</v>
      </c>
      <c r="G41" s="56" t="s">
        <v>91</v>
      </c>
      <c r="H41" s="43" t="s">
        <v>90</v>
      </c>
      <c r="I41" s="56" t="s">
        <v>91</v>
      </c>
      <c r="J41" s="60"/>
      <c r="K41" s="60"/>
      <c r="L41" s="62"/>
      <c r="M41" s="60"/>
      <c r="N41" s="60"/>
      <c r="O41" s="60"/>
    </row>
    <row r="42" spans="1:24">
      <c r="A42" s="46" t="s">
        <v>484</v>
      </c>
      <c r="B42" s="44">
        <v>14.5</v>
      </c>
      <c r="C42" s="44">
        <v>19.7</v>
      </c>
      <c r="D42" s="44">
        <f>ROUND(B42/5,0)</f>
        <v>3</v>
      </c>
      <c r="E42" s="44">
        <f>ROUND(C42/5,0)</f>
        <v>4</v>
      </c>
      <c r="F42" s="50">
        <f t="shared" ref="F42:G46" si="2">D42*$B$37</f>
        <v>30</v>
      </c>
      <c r="G42" s="50">
        <f t="shared" si="2"/>
        <v>40</v>
      </c>
      <c r="H42" s="50">
        <f>$X34*F42</f>
        <v>840</v>
      </c>
      <c r="I42" s="50">
        <f t="shared" ref="H42:I45" si="3">$X34*G42</f>
        <v>1120</v>
      </c>
      <c r="J42" s="50"/>
      <c r="K42" s="50"/>
    </row>
    <row r="43" spans="1:24">
      <c r="A43" s="46" t="s">
        <v>487</v>
      </c>
      <c r="B43" s="44">
        <v>10.15</v>
      </c>
      <c r="C43" s="44">
        <v>12.8</v>
      </c>
      <c r="D43" s="44">
        <f t="shared" ref="D43:E45" si="4">ROUND(B43/5,0)</f>
        <v>2</v>
      </c>
      <c r="E43" s="44">
        <f t="shared" si="4"/>
        <v>3</v>
      </c>
      <c r="F43" s="50">
        <f t="shared" si="2"/>
        <v>20</v>
      </c>
      <c r="G43" s="50">
        <f t="shared" si="2"/>
        <v>30</v>
      </c>
      <c r="H43" s="50">
        <f t="shared" si="3"/>
        <v>660</v>
      </c>
      <c r="I43" s="50">
        <f t="shared" si="3"/>
        <v>990</v>
      </c>
      <c r="J43" s="50"/>
      <c r="K43" s="50"/>
    </row>
    <row r="44" spans="1:24">
      <c r="A44" s="46" t="s">
        <v>488</v>
      </c>
      <c r="B44" s="44">
        <v>10</v>
      </c>
      <c r="C44" s="44">
        <v>18.7</v>
      </c>
      <c r="D44" s="44">
        <f t="shared" si="4"/>
        <v>2</v>
      </c>
      <c r="E44" s="44">
        <f t="shared" si="4"/>
        <v>4</v>
      </c>
      <c r="F44" s="50">
        <f t="shared" si="2"/>
        <v>20</v>
      </c>
      <c r="G44" s="50">
        <f t="shared" si="2"/>
        <v>40</v>
      </c>
      <c r="H44" s="50">
        <f t="shared" si="3"/>
        <v>240</v>
      </c>
      <c r="I44" s="50">
        <f t="shared" si="3"/>
        <v>480</v>
      </c>
      <c r="J44" s="50"/>
      <c r="K44" s="50"/>
    </row>
    <row r="45" spans="1:24">
      <c r="A45" s="46" t="s">
        <v>489</v>
      </c>
      <c r="B45" s="44">
        <v>14.5</v>
      </c>
      <c r="C45" s="44">
        <v>20.3</v>
      </c>
      <c r="D45" s="44">
        <f t="shared" si="4"/>
        <v>3</v>
      </c>
      <c r="E45" s="44">
        <f t="shared" si="4"/>
        <v>4</v>
      </c>
      <c r="F45" s="50">
        <f t="shared" si="2"/>
        <v>30</v>
      </c>
      <c r="G45" s="50">
        <f t="shared" si="2"/>
        <v>40</v>
      </c>
      <c r="H45" s="50">
        <f t="shared" si="3"/>
        <v>1140</v>
      </c>
      <c r="I45" s="50">
        <f t="shared" si="3"/>
        <v>1520</v>
      </c>
      <c r="J45" s="50"/>
      <c r="K45" s="50"/>
    </row>
    <row r="46" spans="1:24">
      <c r="A46" s="46" t="s">
        <v>507</v>
      </c>
      <c r="B46" s="44">
        <v>12.15</v>
      </c>
      <c r="C46" s="44">
        <v>17.149999999999999</v>
      </c>
      <c r="D46" s="44">
        <f>AVERAGE(D42:D45)</f>
        <v>2.5</v>
      </c>
      <c r="E46" s="44">
        <f>AVERAGE(E42:E45)</f>
        <v>3.75</v>
      </c>
      <c r="F46" s="50">
        <f>D46*$B$37</f>
        <v>25</v>
      </c>
      <c r="G46" s="50">
        <f t="shared" si="2"/>
        <v>37.5</v>
      </c>
      <c r="H46" s="50">
        <f>SUM(H42:H45)</f>
        <v>2880</v>
      </c>
      <c r="I46" s="50">
        <f>SUM(I42:I45)</f>
        <v>4110</v>
      </c>
      <c r="J46" s="50"/>
      <c r="K46" s="50"/>
    </row>
    <row r="49" spans="2:3">
      <c r="B49" s="44">
        <v>12.6</v>
      </c>
      <c r="C49" s="44">
        <v>17.5</v>
      </c>
    </row>
  </sheetData>
  <mergeCells count="12">
    <mergeCell ref="S32:W32"/>
    <mergeCell ref="B40:C40"/>
    <mergeCell ref="D40:E40"/>
    <mergeCell ref="F40:G40"/>
    <mergeCell ref="H40:I40"/>
    <mergeCell ref="J30:K30"/>
    <mergeCell ref="L30:M30"/>
    <mergeCell ref="M13:Q13"/>
    <mergeCell ref="S13:W13"/>
    <mergeCell ref="B17:C17"/>
    <mergeCell ref="J22:N22"/>
    <mergeCell ref="S22:W22"/>
  </mergeCells>
  <hyperlinks>
    <hyperlink ref="D19" r:id="rId1" xr:uid="{00000000-0004-0000-0D00-000000000000}"/>
    <hyperlink ref="D20" r:id="rId2" xr:uid="{00000000-0004-0000-0D00-000001000000}"/>
    <hyperlink ref="D21" r:id="rId3" xr:uid="{00000000-0004-0000-0D00-000002000000}"/>
    <hyperlink ref="D22" r:id="rId4" xr:uid="{00000000-0004-0000-0D00-000003000000}"/>
  </hyperlinks>
  <pageMargins left="0.7" right="0.7" top="0.75" bottom="0.75" header="0.3" footer="0.3"/>
  <drawing r:id="rId5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E5C994-4817-274D-999D-1A4C468450C3}">
  <dimension ref="A1:X80"/>
  <sheetViews>
    <sheetView workbookViewId="0">
      <selection activeCell="O57" sqref="O57"/>
    </sheetView>
  </sheetViews>
  <sheetFormatPr baseColWidth="10" defaultRowHeight="16"/>
  <cols>
    <col min="1" max="1" width="25.5" bestFit="1" customWidth="1"/>
    <col min="2" max="3" width="15" customWidth="1"/>
    <col min="4" max="4" width="12.83203125" bestFit="1" customWidth="1"/>
    <col min="5" max="5" width="14.5" bestFit="1" customWidth="1"/>
    <col min="6" max="6" width="42.5" bestFit="1" customWidth="1"/>
    <col min="9" max="9" width="31" bestFit="1" customWidth="1"/>
    <col min="18" max="18" width="25.5" bestFit="1" customWidth="1"/>
  </cols>
  <sheetData>
    <row r="1" spans="1:23">
      <c r="B1" s="85" t="s">
        <v>476</v>
      </c>
      <c r="C1" s="85"/>
      <c r="D1" s="85"/>
    </row>
    <row r="2" spans="1:23">
      <c r="A2" s="43" t="s">
        <v>475</v>
      </c>
      <c r="B2" s="44" t="s">
        <v>1149</v>
      </c>
      <c r="C2" s="44" t="s">
        <v>1150</v>
      </c>
      <c r="D2" s="44" t="s">
        <v>28</v>
      </c>
      <c r="E2" s="60"/>
      <c r="I2" s="42" t="s">
        <v>480</v>
      </c>
      <c r="J2" s="42" t="s">
        <v>481</v>
      </c>
      <c r="K2" s="42" t="s">
        <v>423</v>
      </c>
      <c r="L2" s="42" t="s">
        <v>1153</v>
      </c>
      <c r="O2" s="42" t="s">
        <v>480</v>
      </c>
      <c r="P2" s="42" t="s">
        <v>1153</v>
      </c>
    </row>
    <row r="3" spans="1:23">
      <c r="A3" s="44">
        <v>1</v>
      </c>
      <c r="B3" s="44">
        <v>4463</v>
      </c>
      <c r="C3" s="44">
        <v>0</v>
      </c>
      <c r="D3" s="44">
        <f>SUM(B3:C3)</f>
        <v>4463</v>
      </c>
      <c r="E3" s="50"/>
      <c r="I3" t="s">
        <v>1206</v>
      </c>
      <c r="J3">
        <v>6670</v>
      </c>
      <c r="K3">
        <v>34</v>
      </c>
      <c r="L3">
        <v>143</v>
      </c>
      <c r="O3" t="s">
        <v>484</v>
      </c>
      <c r="P3">
        <v>85</v>
      </c>
    </row>
    <row r="4" spans="1:23">
      <c r="A4" s="44">
        <v>2</v>
      </c>
      <c r="B4" s="44">
        <v>3829</v>
      </c>
      <c r="C4" s="44">
        <v>0</v>
      </c>
      <c r="D4" s="44">
        <f t="shared" ref="D4:D8" si="0">SUM(B4:C4)</f>
        <v>3829</v>
      </c>
      <c r="E4" s="50"/>
      <c r="I4" t="s">
        <v>1208</v>
      </c>
      <c r="J4">
        <v>6033</v>
      </c>
      <c r="K4">
        <v>30</v>
      </c>
      <c r="L4">
        <f>ROUND($L$21*K4/100,0)</f>
        <v>127</v>
      </c>
      <c r="O4" t="s">
        <v>487</v>
      </c>
      <c r="P4">
        <v>143</v>
      </c>
    </row>
    <row r="5" spans="1:23">
      <c r="A5" s="44">
        <v>3</v>
      </c>
      <c r="B5" s="44">
        <v>0</v>
      </c>
      <c r="C5" s="44">
        <v>0</v>
      </c>
      <c r="D5" s="44">
        <f t="shared" si="0"/>
        <v>0</v>
      </c>
      <c r="E5" s="60"/>
      <c r="I5" t="s">
        <v>1205</v>
      </c>
      <c r="J5">
        <v>3806</v>
      </c>
      <c r="K5">
        <v>20</v>
      </c>
      <c r="L5">
        <f>ROUND($L$21*K5/100,0)</f>
        <v>85</v>
      </c>
      <c r="O5" t="s">
        <v>488</v>
      </c>
      <c r="P5">
        <v>68</v>
      </c>
    </row>
    <row r="6" spans="1:23">
      <c r="A6" s="44">
        <v>4</v>
      </c>
      <c r="B6" s="44">
        <v>2599</v>
      </c>
      <c r="C6" s="44">
        <v>0</v>
      </c>
      <c r="D6" s="44">
        <f t="shared" si="0"/>
        <v>2599</v>
      </c>
      <c r="I6" t="s">
        <v>1207</v>
      </c>
      <c r="J6">
        <v>3029</v>
      </c>
      <c r="K6">
        <v>16</v>
      </c>
      <c r="L6">
        <f>ROUND($L$21*K6/100,0)</f>
        <v>68</v>
      </c>
      <c r="O6" t="s">
        <v>489</v>
      </c>
      <c r="P6">
        <v>127</v>
      </c>
    </row>
    <row r="7" spans="1:23">
      <c r="A7" s="44">
        <v>5</v>
      </c>
      <c r="B7" s="44">
        <v>354</v>
      </c>
      <c r="C7" s="44">
        <v>3993</v>
      </c>
      <c r="D7" s="44">
        <f t="shared" si="0"/>
        <v>4347</v>
      </c>
      <c r="I7" t="s">
        <v>490</v>
      </c>
      <c r="J7">
        <v>388</v>
      </c>
    </row>
    <row r="8" spans="1:23">
      <c r="A8" s="43" t="s">
        <v>28</v>
      </c>
      <c r="B8" s="43">
        <f>SUM(B3:B7)</f>
        <v>11245</v>
      </c>
      <c r="C8" s="43">
        <f>SUM(C3:C7)</f>
        <v>3993</v>
      </c>
      <c r="D8" s="43">
        <f t="shared" si="0"/>
        <v>15238</v>
      </c>
      <c r="I8" s="42" t="s">
        <v>28</v>
      </c>
      <c r="J8" s="42">
        <f>SUM(J3:J7)</f>
        <v>19926</v>
      </c>
      <c r="K8" s="42"/>
    </row>
    <row r="9" spans="1:23">
      <c r="A9" t="s">
        <v>491</v>
      </c>
    </row>
    <row r="13" spans="1:23">
      <c r="B13" s="43" t="s">
        <v>505</v>
      </c>
      <c r="C13" s="82"/>
    </row>
    <row r="14" spans="1:23">
      <c r="A14" s="45" t="s">
        <v>480</v>
      </c>
      <c r="B14" s="43" t="s">
        <v>90</v>
      </c>
      <c r="C14" s="43" t="s">
        <v>91</v>
      </c>
      <c r="M14" s="88"/>
      <c r="N14" s="89"/>
      <c r="O14" s="89"/>
      <c r="P14" s="89"/>
      <c r="Q14" s="89"/>
      <c r="S14" s="88"/>
      <c r="T14" s="89"/>
      <c r="U14" s="89"/>
      <c r="V14" s="89"/>
      <c r="W14" s="89"/>
    </row>
    <row r="15" spans="1:23">
      <c r="A15" s="46" t="s">
        <v>484</v>
      </c>
      <c r="B15" s="52">
        <v>0.60416666666666663</v>
      </c>
      <c r="C15" s="52">
        <v>0.82986111111111116</v>
      </c>
      <c r="I15" s="42"/>
      <c r="J15" s="60"/>
      <c r="K15" s="60"/>
      <c r="M15" s="60"/>
      <c r="N15" s="60"/>
      <c r="O15" s="60"/>
      <c r="P15" s="60"/>
      <c r="Q15" s="60"/>
      <c r="S15" s="60"/>
      <c r="T15" s="60"/>
      <c r="U15" s="60"/>
      <c r="V15" s="60"/>
      <c r="W15" s="60"/>
    </row>
    <row r="16" spans="1:23">
      <c r="A16" s="46" t="s">
        <v>487</v>
      </c>
      <c r="B16" s="52">
        <v>0.4236111111111111</v>
      </c>
      <c r="C16" s="52">
        <v>0.53472222222222221</v>
      </c>
      <c r="J16" s="50"/>
      <c r="K16" s="50"/>
      <c r="L16" t="s">
        <v>1155</v>
      </c>
      <c r="M16" s="61"/>
      <c r="N16" s="61"/>
      <c r="O16" s="61"/>
      <c r="P16" s="61"/>
      <c r="Q16" s="61"/>
      <c r="S16" s="61"/>
      <c r="T16" s="61"/>
      <c r="U16" s="61"/>
      <c r="V16" s="61"/>
      <c r="W16" s="61"/>
    </row>
    <row r="17" spans="1:23">
      <c r="A17" s="46" t="s">
        <v>488</v>
      </c>
      <c r="B17" s="52">
        <v>0.41666666666666669</v>
      </c>
      <c r="C17" s="52">
        <v>0.77777777777777779</v>
      </c>
      <c r="J17" s="50"/>
      <c r="K17" s="50"/>
      <c r="L17" t="s">
        <v>1154</v>
      </c>
      <c r="M17" s="61"/>
      <c r="N17" s="61"/>
      <c r="O17" s="61"/>
      <c r="P17" s="61"/>
      <c r="Q17" s="61"/>
      <c r="S17" s="61"/>
      <c r="T17" s="61"/>
      <c r="U17" s="61"/>
      <c r="V17" s="61"/>
      <c r="W17" s="61"/>
    </row>
    <row r="18" spans="1:23">
      <c r="A18" s="46" t="s">
        <v>489</v>
      </c>
      <c r="B18" s="52">
        <v>0.60416666666666663</v>
      </c>
      <c r="C18" s="52">
        <v>0.84722222222222221</v>
      </c>
      <c r="J18" s="50"/>
      <c r="K18" s="50"/>
      <c r="M18" s="61"/>
      <c r="N18" s="61"/>
      <c r="O18" s="61"/>
      <c r="P18" s="61"/>
      <c r="Q18" s="61"/>
      <c r="S18" s="61"/>
      <c r="T18" s="61"/>
      <c r="U18" s="61"/>
      <c r="V18" s="61"/>
      <c r="W18" s="61"/>
    </row>
    <row r="19" spans="1:23">
      <c r="A19" s="46" t="s">
        <v>507</v>
      </c>
      <c r="B19" s="52">
        <v>0.52430555555555558</v>
      </c>
      <c r="C19" s="52">
        <v>0.72916666666666663</v>
      </c>
      <c r="J19" s="50"/>
      <c r="K19" s="50"/>
      <c r="M19" s="61"/>
      <c r="N19" s="61"/>
      <c r="O19" s="61"/>
      <c r="P19" s="61"/>
      <c r="Q19" s="61"/>
      <c r="S19" s="61"/>
      <c r="T19" s="61"/>
      <c r="U19" s="61"/>
      <c r="V19" s="61"/>
      <c r="W19" s="61"/>
    </row>
    <row r="20" spans="1:23">
      <c r="D20" s="49"/>
      <c r="J20" s="50"/>
      <c r="K20" s="50"/>
    </row>
    <row r="21" spans="1:23">
      <c r="B21" s="85" t="s">
        <v>1202</v>
      </c>
      <c r="C21" s="85"/>
      <c r="D21" s="108" t="s">
        <v>1203</v>
      </c>
      <c r="E21" s="108"/>
      <c r="L21">
        <v>423</v>
      </c>
      <c r="S21" s="61"/>
    </row>
    <row r="22" spans="1:23">
      <c r="A22" s="57" t="s">
        <v>480</v>
      </c>
      <c r="B22" s="43" t="s">
        <v>1204</v>
      </c>
      <c r="C22" s="43" t="s">
        <v>759</v>
      </c>
      <c r="D22" s="43" t="s">
        <v>1204</v>
      </c>
      <c r="E22" s="43" t="s">
        <v>759</v>
      </c>
      <c r="M22" t="s">
        <v>1152</v>
      </c>
    </row>
    <row r="23" spans="1:23">
      <c r="A23" s="58" t="s">
        <v>484</v>
      </c>
      <c r="B23" s="44">
        <v>15</v>
      </c>
      <c r="C23" s="44">
        <v>7</v>
      </c>
      <c r="D23" s="44">
        <v>14</v>
      </c>
      <c r="E23" s="44">
        <v>6</v>
      </c>
      <c r="I23" s="42"/>
      <c r="J23" s="88"/>
      <c r="K23" s="89"/>
      <c r="L23" s="89"/>
      <c r="M23" s="89"/>
      <c r="N23" s="89"/>
      <c r="S23" s="88"/>
      <c r="T23" s="89"/>
      <c r="U23" s="89"/>
      <c r="V23" s="89"/>
      <c r="W23" s="89"/>
    </row>
    <row r="24" spans="1:23">
      <c r="A24" s="58" t="s">
        <v>487</v>
      </c>
      <c r="B24" s="44">
        <v>20</v>
      </c>
      <c r="C24" s="44">
        <v>11</v>
      </c>
      <c r="D24" s="44">
        <v>75</v>
      </c>
      <c r="E24" s="44">
        <v>13</v>
      </c>
      <c r="I24" s="42"/>
      <c r="J24" s="60"/>
      <c r="K24" s="60"/>
      <c r="L24" s="60"/>
      <c r="M24" s="60"/>
      <c r="N24" s="60"/>
      <c r="R24" s="42"/>
      <c r="S24" s="60"/>
      <c r="T24" s="60"/>
      <c r="U24" s="60"/>
      <c r="V24" s="60"/>
      <c r="W24" s="60"/>
    </row>
    <row r="25" spans="1:23">
      <c r="A25" s="58" t="s">
        <v>488</v>
      </c>
      <c r="B25" s="44">
        <v>6</v>
      </c>
      <c r="C25" s="44">
        <v>4</v>
      </c>
      <c r="D25" s="44">
        <v>14</v>
      </c>
      <c r="E25" s="44">
        <v>5</v>
      </c>
      <c r="J25" s="50"/>
      <c r="K25" s="50"/>
      <c r="L25" s="50"/>
      <c r="M25" s="50"/>
      <c r="N25" s="50"/>
      <c r="O25" s="47"/>
    </row>
    <row r="26" spans="1:23">
      <c r="A26" s="58" t="s">
        <v>489</v>
      </c>
      <c r="B26" s="44">
        <v>19</v>
      </c>
      <c r="C26" s="44">
        <v>10</v>
      </c>
      <c r="D26" s="44">
        <v>16</v>
      </c>
      <c r="E26" s="44">
        <v>6</v>
      </c>
      <c r="J26" s="50"/>
      <c r="K26" s="50"/>
      <c r="L26" s="50"/>
      <c r="M26" s="50"/>
      <c r="N26" s="50"/>
    </row>
    <row r="27" spans="1:23">
      <c r="A27" s="58" t="s">
        <v>507</v>
      </c>
      <c r="B27" s="44">
        <f>SUM(B23:B26)</f>
        <v>60</v>
      </c>
      <c r="C27" s="44">
        <f>SUM(C23:C26)</f>
        <v>32</v>
      </c>
      <c r="D27" s="44">
        <f t="shared" ref="D27:E27" si="1">SUM(D23:D26)</f>
        <v>119</v>
      </c>
      <c r="E27" s="44">
        <f t="shared" si="1"/>
        <v>30</v>
      </c>
      <c r="J27" s="50"/>
      <c r="K27" s="50"/>
      <c r="L27" s="50"/>
      <c r="M27" s="50"/>
      <c r="N27" s="50"/>
    </row>
    <row r="28" spans="1:23">
      <c r="J28" s="50"/>
      <c r="K28" s="50"/>
      <c r="L28" s="50"/>
      <c r="M28" s="50"/>
      <c r="N28" s="50"/>
      <c r="O28" s="47"/>
    </row>
    <row r="29" spans="1:23">
      <c r="A29" s="42"/>
      <c r="B29" s="85" t="s">
        <v>511</v>
      </c>
      <c r="C29" s="86"/>
      <c r="D29" s="86"/>
      <c r="E29" s="86"/>
      <c r="F29" s="87"/>
      <c r="G29" t="s">
        <v>1151</v>
      </c>
      <c r="H29" t="s">
        <v>28</v>
      </c>
      <c r="J29" s="50"/>
      <c r="K29" s="50"/>
      <c r="L29" s="50"/>
      <c r="M29" s="50"/>
      <c r="N29" s="50"/>
      <c r="O29" s="47"/>
    </row>
    <row r="30" spans="1:23">
      <c r="A30" s="45" t="s">
        <v>480</v>
      </c>
      <c r="B30" s="43" t="s">
        <v>500</v>
      </c>
      <c r="C30" s="43" t="s">
        <v>501</v>
      </c>
      <c r="D30" s="43" t="s">
        <v>502</v>
      </c>
      <c r="E30" s="43" t="s">
        <v>503</v>
      </c>
      <c r="F30" s="43" t="s">
        <v>504</v>
      </c>
      <c r="G30" s="55" t="s">
        <v>504</v>
      </c>
      <c r="H30" s="55" t="s">
        <v>504</v>
      </c>
      <c r="J30" s="50"/>
      <c r="K30" s="50"/>
      <c r="L30" s="50"/>
      <c r="M30" s="50"/>
      <c r="N30" s="50"/>
      <c r="O30" s="47"/>
    </row>
    <row r="31" spans="1:23">
      <c r="A31" s="46" t="s">
        <v>484</v>
      </c>
      <c r="B31" s="44">
        <f>ROUND($D$3*$K5/100,0)</f>
        <v>893</v>
      </c>
      <c r="C31" s="44">
        <f>ROUND($D$4*$K5/100,0)</f>
        <v>766</v>
      </c>
      <c r="D31" s="44">
        <f>$D$5*$K5/100</f>
        <v>0</v>
      </c>
      <c r="E31" s="44">
        <f>ROUND($D$6*$K5/100,0)</f>
        <v>520</v>
      </c>
      <c r="F31" s="44">
        <v>138</v>
      </c>
      <c r="G31" s="44">
        <f>ROUND($C$7*$K5/100,0)</f>
        <v>799</v>
      </c>
      <c r="H31">
        <f>SUM(F31:G31)</f>
        <v>937</v>
      </c>
      <c r="J31" s="50"/>
      <c r="K31" s="50"/>
      <c r="L31" s="50"/>
      <c r="M31" s="50"/>
      <c r="N31" s="50"/>
      <c r="O31" s="47"/>
    </row>
    <row r="32" spans="1:23">
      <c r="A32" s="46" t="s">
        <v>487</v>
      </c>
      <c r="B32" s="44">
        <f>ROUND($D$3*$K3/100,0)</f>
        <v>1517</v>
      </c>
      <c r="C32" s="44">
        <f>ROUND($D$4*$K3/100,0)</f>
        <v>1302</v>
      </c>
      <c r="D32" s="44">
        <f>$D$5*$K3/100</f>
        <v>0</v>
      </c>
      <c r="E32" s="44">
        <f>ROUND($D$6*$K3/100,0)</f>
        <v>884</v>
      </c>
      <c r="F32" s="44">
        <v>0</v>
      </c>
      <c r="G32" s="44">
        <f>ROUND($C$7*$K3/100,0)</f>
        <v>1358</v>
      </c>
      <c r="H32">
        <f t="shared" ref="H32:H34" si="2">SUM(F32:G32)</f>
        <v>1358</v>
      </c>
      <c r="J32" s="50"/>
      <c r="K32" s="50"/>
      <c r="L32" s="50"/>
      <c r="M32" s="50"/>
      <c r="N32" s="50"/>
      <c r="O32" s="47"/>
    </row>
    <row r="33" spans="1:24">
      <c r="A33" s="46" t="s">
        <v>488</v>
      </c>
      <c r="B33" s="44">
        <f>ROUND($D$3*$K6/100,0)</f>
        <v>714</v>
      </c>
      <c r="C33" s="44">
        <f>ROUND($D$4*$K6/100,0)</f>
        <v>613</v>
      </c>
      <c r="D33" s="44">
        <f>$D$5*$K6/100</f>
        <v>0</v>
      </c>
      <c r="E33" s="44">
        <f>ROUND($D$6*$K6/100,0)</f>
        <v>416</v>
      </c>
      <c r="F33" s="44">
        <v>0</v>
      </c>
      <c r="G33" s="44">
        <f>ROUND($C$7*$K6/100,0)</f>
        <v>639</v>
      </c>
      <c r="H33">
        <f t="shared" si="2"/>
        <v>639</v>
      </c>
      <c r="J33" s="50"/>
      <c r="K33" s="50"/>
      <c r="L33" s="50"/>
      <c r="M33" s="50"/>
      <c r="N33" s="50"/>
      <c r="O33" s="47"/>
    </row>
    <row r="34" spans="1:24">
      <c r="A34" s="63" t="s">
        <v>489</v>
      </c>
      <c r="B34" s="44">
        <f>ROUND($D$3*$K4/100,0)</f>
        <v>1339</v>
      </c>
      <c r="C34" s="44">
        <f>ROUND($D$4*$K4/100,0)</f>
        <v>1149</v>
      </c>
      <c r="D34" s="44">
        <f>$D$5*$K4/100</f>
        <v>0</v>
      </c>
      <c r="E34" s="44">
        <f>ROUND($D$6*$K4/100,0)</f>
        <v>780</v>
      </c>
      <c r="F34" s="64">
        <f>354-F31</f>
        <v>216</v>
      </c>
      <c r="G34" s="44">
        <f>ROUND($C$7*$K4/100,0)</f>
        <v>1198</v>
      </c>
      <c r="H34">
        <f t="shared" si="2"/>
        <v>1414</v>
      </c>
      <c r="J34" s="50"/>
      <c r="K34" s="50"/>
      <c r="L34" s="50"/>
      <c r="M34" s="50"/>
      <c r="N34" s="50"/>
      <c r="O34" s="47"/>
    </row>
    <row r="35" spans="1:24">
      <c r="B35" s="50"/>
      <c r="C35" s="50"/>
      <c r="D35" s="50"/>
      <c r="E35" s="50"/>
      <c r="F35" s="50"/>
      <c r="G35" s="50"/>
      <c r="J35" s="50"/>
      <c r="K35" s="50"/>
      <c r="L35" s="50"/>
      <c r="M35" s="50"/>
      <c r="N35" s="50"/>
      <c r="O35" s="47"/>
    </row>
    <row r="36" spans="1:24">
      <c r="B36" s="85" t="s">
        <v>519</v>
      </c>
      <c r="C36" s="86"/>
      <c r="D36" s="86"/>
      <c r="E36" s="86"/>
      <c r="F36" s="87"/>
      <c r="J36" s="50"/>
      <c r="K36" s="50"/>
      <c r="L36" s="50"/>
      <c r="M36" s="50"/>
      <c r="N36" s="50"/>
      <c r="O36" s="47"/>
    </row>
    <row r="37" spans="1:24">
      <c r="A37" s="45" t="s">
        <v>480</v>
      </c>
      <c r="B37" s="43" t="s">
        <v>500</v>
      </c>
      <c r="C37" s="43" t="s">
        <v>501</v>
      </c>
      <c r="D37" s="43" t="s">
        <v>502</v>
      </c>
      <c r="E37" s="43" t="s">
        <v>503</v>
      </c>
      <c r="F37" s="43" t="s">
        <v>504</v>
      </c>
      <c r="G37" s="55" t="s">
        <v>28</v>
      </c>
      <c r="J37" s="50"/>
      <c r="K37" s="50"/>
      <c r="L37" s="50"/>
      <c r="M37" s="50"/>
      <c r="N37" s="50"/>
      <c r="O37" s="47"/>
    </row>
    <row r="38" spans="1:24">
      <c r="A38" s="46" t="s">
        <v>484</v>
      </c>
      <c r="B38" s="44">
        <v>7</v>
      </c>
      <c r="C38" s="44">
        <v>7</v>
      </c>
      <c r="D38" s="46">
        <v>0</v>
      </c>
      <c r="E38" s="44">
        <v>7</v>
      </c>
      <c r="F38" s="46">
        <v>6</v>
      </c>
      <c r="G38" s="53">
        <f>SUM(B38:F38)</f>
        <v>27</v>
      </c>
      <c r="J38" s="50"/>
      <c r="K38" s="50"/>
      <c r="L38" s="50"/>
      <c r="M38" s="50"/>
      <c r="N38" s="50"/>
      <c r="O38" s="47"/>
    </row>
    <row r="39" spans="1:24">
      <c r="A39" s="46" t="s">
        <v>487</v>
      </c>
      <c r="B39" s="44">
        <v>11</v>
      </c>
      <c r="C39" s="44">
        <v>11</v>
      </c>
      <c r="D39" s="46">
        <v>0</v>
      </c>
      <c r="E39" s="44">
        <v>11</v>
      </c>
      <c r="F39" s="46">
        <v>13</v>
      </c>
      <c r="G39" s="53">
        <f>SUM(B39:F39)</f>
        <v>46</v>
      </c>
      <c r="J39" s="50"/>
      <c r="K39" s="50"/>
      <c r="L39" s="50"/>
      <c r="M39" s="50"/>
      <c r="N39" s="50"/>
      <c r="O39" s="47"/>
    </row>
    <row r="40" spans="1:24">
      <c r="A40" s="46" t="s">
        <v>488</v>
      </c>
      <c r="B40" s="44">
        <v>4</v>
      </c>
      <c r="C40" s="44">
        <v>4</v>
      </c>
      <c r="D40" s="46">
        <v>0</v>
      </c>
      <c r="E40" s="44">
        <v>4</v>
      </c>
      <c r="F40" s="46">
        <v>5</v>
      </c>
      <c r="G40" s="53">
        <f>SUM(B40:F40)</f>
        <v>17</v>
      </c>
      <c r="J40" s="50"/>
      <c r="K40" s="50"/>
      <c r="L40" s="50"/>
      <c r="M40" s="50"/>
      <c r="N40" s="50"/>
      <c r="O40" s="47"/>
    </row>
    <row r="41" spans="1:24">
      <c r="A41" s="46" t="s">
        <v>489</v>
      </c>
      <c r="B41" s="44">
        <v>10</v>
      </c>
      <c r="C41" s="44">
        <v>10</v>
      </c>
      <c r="D41" s="46">
        <v>0</v>
      </c>
      <c r="E41" s="44">
        <v>10</v>
      </c>
      <c r="F41" s="46">
        <v>6</v>
      </c>
      <c r="G41" s="53">
        <f>SUM(B41:F41)</f>
        <v>36</v>
      </c>
      <c r="J41" s="50"/>
      <c r="K41" s="50"/>
      <c r="L41" s="50"/>
      <c r="M41" s="50"/>
      <c r="N41" s="50"/>
      <c r="O41" s="47"/>
    </row>
    <row r="42" spans="1:24">
      <c r="A42" s="46" t="s">
        <v>507</v>
      </c>
      <c r="B42" s="46">
        <f>SUM(B38:B41)</f>
        <v>32</v>
      </c>
      <c r="C42" s="46">
        <f>SUM(C38:C41)</f>
        <v>32</v>
      </c>
      <c r="D42" s="46">
        <f>SUM(D38:D41)</f>
        <v>0</v>
      </c>
      <c r="E42" s="46">
        <f>SUM(E38:E41)</f>
        <v>32</v>
      </c>
      <c r="F42" s="46">
        <f>SUM(F38:F41)</f>
        <v>30</v>
      </c>
      <c r="G42" s="53">
        <f>SUM(B42:F42)</f>
        <v>126</v>
      </c>
      <c r="J42" s="50"/>
      <c r="K42" s="50"/>
      <c r="L42" s="50"/>
      <c r="M42" s="50"/>
      <c r="N42" s="50"/>
      <c r="O42" s="47"/>
    </row>
    <row r="43" spans="1:24">
      <c r="D43" t="s">
        <v>514</v>
      </c>
      <c r="J43" s="50"/>
      <c r="K43" s="50"/>
      <c r="L43" s="50"/>
      <c r="M43" s="50"/>
      <c r="N43" s="50"/>
    </row>
    <row r="45" spans="1:24">
      <c r="J45" s="88"/>
      <c r="K45" s="89"/>
      <c r="L45" s="88"/>
      <c r="M45" s="89"/>
    </row>
    <row r="46" spans="1:24">
      <c r="I46" s="42"/>
      <c r="J46" s="62"/>
      <c r="K46" s="60"/>
      <c r="L46" s="60"/>
      <c r="M46" s="60"/>
    </row>
    <row r="47" spans="1:24">
      <c r="J47" s="50"/>
      <c r="K47" s="50"/>
      <c r="L47" s="50"/>
      <c r="M47" s="50"/>
      <c r="S47" s="88"/>
      <c r="T47" s="89"/>
      <c r="U47" s="89"/>
      <c r="V47" s="89"/>
      <c r="W47" s="89"/>
    </row>
    <row r="48" spans="1:24">
      <c r="J48" s="50"/>
      <c r="K48" s="50"/>
      <c r="L48" s="50"/>
      <c r="M48" s="50"/>
      <c r="R48" s="42"/>
      <c r="S48" s="60"/>
      <c r="T48" s="60"/>
      <c r="U48" s="60"/>
      <c r="V48" s="60"/>
      <c r="W48" s="60"/>
      <c r="X48" s="60"/>
    </row>
    <row r="49" spans="1:22">
      <c r="A49" t="s">
        <v>521</v>
      </c>
      <c r="B49" s="50">
        <v>2312</v>
      </c>
      <c r="C49">
        <f>B49/2</f>
        <v>1156</v>
      </c>
      <c r="J49" s="50"/>
      <c r="K49" s="50"/>
      <c r="L49" s="50"/>
      <c r="M49" s="50"/>
      <c r="S49" s="50"/>
      <c r="T49" s="50"/>
      <c r="V49" s="50"/>
    </row>
    <row r="50" spans="1:22">
      <c r="A50" t="s">
        <v>759</v>
      </c>
      <c r="B50">
        <f>G42</f>
        <v>126</v>
      </c>
      <c r="J50" s="50"/>
      <c r="K50" s="50"/>
      <c r="L50" s="50"/>
      <c r="M50" s="50"/>
      <c r="S50" s="50"/>
      <c r="T50" s="50"/>
      <c r="V50" s="50"/>
    </row>
    <row r="51" spans="1:22">
      <c r="A51" t="s">
        <v>760</v>
      </c>
      <c r="B51">
        <f>ROUNDDOWN(B49/B50,0)</f>
        <v>18</v>
      </c>
      <c r="J51" s="50"/>
      <c r="K51" s="50"/>
      <c r="L51" s="50"/>
      <c r="M51" s="50"/>
      <c r="S51" s="50"/>
      <c r="T51" s="50"/>
      <c r="V51" s="50"/>
    </row>
    <row r="52" spans="1:22">
      <c r="A52" t="s">
        <v>761</v>
      </c>
      <c r="B52">
        <f>B51/2</f>
        <v>9</v>
      </c>
      <c r="S52" s="50"/>
      <c r="T52" s="50"/>
      <c r="V52" s="50"/>
    </row>
    <row r="54" spans="1:22">
      <c r="D54" t="s">
        <v>762</v>
      </c>
      <c r="F54" t="s">
        <v>763</v>
      </c>
    </row>
    <row r="55" spans="1:22">
      <c r="B55" s="85" t="s">
        <v>530</v>
      </c>
      <c r="C55" s="87"/>
      <c r="D55" s="85" t="s">
        <v>531</v>
      </c>
      <c r="E55" s="87"/>
      <c r="F55" s="85" t="s">
        <v>765</v>
      </c>
      <c r="G55" s="109"/>
      <c r="H55" s="85" t="s">
        <v>766</v>
      </c>
      <c r="I55" s="109"/>
      <c r="J55" s="42"/>
      <c r="L55" s="42"/>
      <c r="M55" s="42"/>
      <c r="N55" s="42"/>
      <c r="O55" s="42"/>
    </row>
    <row r="56" spans="1:22">
      <c r="A56" s="45" t="s">
        <v>480</v>
      </c>
      <c r="B56" s="43" t="s">
        <v>90</v>
      </c>
      <c r="C56" s="43" t="s">
        <v>91</v>
      </c>
      <c r="D56" s="43" t="s">
        <v>90</v>
      </c>
      <c r="E56" s="56" t="s">
        <v>91</v>
      </c>
      <c r="F56" s="43" t="s">
        <v>90</v>
      </c>
      <c r="G56" s="43" t="s">
        <v>91</v>
      </c>
      <c r="H56" s="43" t="s">
        <v>90</v>
      </c>
      <c r="I56" s="43" t="s">
        <v>91</v>
      </c>
      <c r="J56" s="60"/>
      <c r="K56" s="60"/>
      <c r="L56" s="62"/>
      <c r="M56" s="60"/>
      <c r="N56" s="60"/>
      <c r="O56" s="60"/>
    </row>
    <row r="57" spans="1:22">
      <c r="A57" s="46" t="s">
        <v>484</v>
      </c>
      <c r="B57" s="44">
        <v>14.5</v>
      </c>
      <c r="C57" s="44">
        <v>19.7</v>
      </c>
      <c r="D57" s="44">
        <f>ROUND(B57/5,0)</f>
        <v>3</v>
      </c>
      <c r="E57" s="44">
        <f>ROUND(C57/5,0)</f>
        <v>4</v>
      </c>
      <c r="F57" s="44">
        <f t="shared" ref="F57:G61" si="3">D57*$B$52</f>
        <v>27</v>
      </c>
      <c r="G57" s="44">
        <f t="shared" si="3"/>
        <v>36</v>
      </c>
      <c r="H57" s="44">
        <f>F57*$G38</f>
        <v>729</v>
      </c>
      <c r="I57" s="44">
        <f>G57*$G38</f>
        <v>972</v>
      </c>
      <c r="J57" s="50"/>
      <c r="K57" s="50"/>
    </row>
    <row r="58" spans="1:22">
      <c r="A58" s="46" t="s">
        <v>487</v>
      </c>
      <c r="B58" s="44">
        <v>10.15</v>
      </c>
      <c r="C58" s="44">
        <v>12.8</v>
      </c>
      <c r="D58" s="44">
        <f t="shared" ref="D58:E60" si="4">ROUND(B58/5,0)</f>
        <v>2</v>
      </c>
      <c r="E58" s="44">
        <f t="shared" si="4"/>
        <v>3</v>
      </c>
      <c r="F58" s="44">
        <f t="shared" si="3"/>
        <v>18</v>
      </c>
      <c r="G58" s="44">
        <f t="shared" si="3"/>
        <v>27</v>
      </c>
      <c r="H58" s="44">
        <f t="shared" ref="H58:I60" si="5">F58*$G39</f>
        <v>828</v>
      </c>
      <c r="I58" s="44">
        <f t="shared" si="5"/>
        <v>1242</v>
      </c>
      <c r="J58" s="50"/>
      <c r="K58" s="50"/>
    </row>
    <row r="59" spans="1:22">
      <c r="A59" s="46" t="s">
        <v>488</v>
      </c>
      <c r="B59" s="44">
        <v>10</v>
      </c>
      <c r="C59" s="44">
        <v>18.7</v>
      </c>
      <c r="D59" s="44">
        <f t="shared" si="4"/>
        <v>2</v>
      </c>
      <c r="E59" s="44">
        <f t="shared" si="4"/>
        <v>4</v>
      </c>
      <c r="F59" s="44">
        <f t="shared" si="3"/>
        <v>18</v>
      </c>
      <c r="G59" s="44">
        <f t="shared" si="3"/>
        <v>36</v>
      </c>
      <c r="H59" s="44">
        <f t="shared" si="5"/>
        <v>306</v>
      </c>
      <c r="I59" s="44">
        <f t="shared" si="5"/>
        <v>612</v>
      </c>
      <c r="J59" s="50"/>
      <c r="K59" s="50"/>
    </row>
    <row r="60" spans="1:22">
      <c r="A60" s="46" t="s">
        <v>489</v>
      </c>
      <c r="B60" s="44">
        <v>14.5</v>
      </c>
      <c r="C60" s="44">
        <v>20.3</v>
      </c>
      <c r="D60" s="44">
        <f t="shared" si="4"/>
        <v>3</v>
      </c>
      <c r="E60" s="44">
        <f t="shared" si="4"/>
        <v>4</v>
      </c>
      <c r="F60" s="44">
        <f t="shared" si="3"/>
        <v>27</v>
      </c>
      <c r="G60" s="44">
        <f t="shared" si="3"/>
        <v>36</v>
      </c>
      <c r="H60" s="44">
        <f t="shared" si="5"/>
        <v>972</v>
      </c>
      <c r="I60" s="44">
        <f t="shared" si="5"/>
        <v>1296</v>
      </c>
      <c r="J60" s="50"/>
      <c r="K60" s="50"/>
    </row>
    <row r="61" spans="1:22">
      <c r="A61" s="46" t="s">
        <v>507</v>
      </c>
      <c r="B61" s="44">
        <v>12.15</v>
      </c>
      <c r="C61" s="44">
        <v>17.149999999999999</v>
      </c>
      <c r="D61" s="44">
        <f>AVERAGE(D57:D60)</f>
        <v>2.5</v>
      </c>
      <c r="E61" s="44">
        <f>AVERAGE(E57:E60)</f>
        <v>3.75</v>
      </c>
      <c r="F61" s="44">
        <f t="shared" si="3"/>
        <v>22.5</v>
      </c>
      <c r="G61" s="44">
        <f t="shared" si="3"/>
        <v>33.75</v>
      </c>
      <c r="H61" s="44">
        <f>SUM(H57:H60)</f>
        <v>2835</v>
      </c>
      <c r="I61" s="44">
        <f>SUM(I57:I60)</f>
        <v>4122</v>
      </c>
      <c r="J61" s="50"/>
      <c r="K61" s="50"/>
    </row>
    <row r="64" spans="1:22">
      <c r="B64" s="44">
        <v>12.6</v>
      </c>
      <c r="C64" s="44">
        <v>17.5</v>
      </c>
    </row>
    <row r="75" spans="1:7">
      <c r="B75" s="88"/>
      <c r="C75" s="89"/>
      <c r="D75" s="89"/>
      <c r="E75" s="89"/>
      <c r="F75" s="89"/>
    </row>
    <row r="76" spans="1:7">
      <c r="A76" s="42"/>
      <c r="B76" s="60"/>
      <c r="C76" s="60"/>
      <c r="D76" s="60"/>
      <c r="E76" s="60"/>
      <c r="F76" s="60"/>
      <c r="G76" s="60"/>
    </row>
    <row r="77" spans="1:7">
      <c r="B77" s="50"/>
      <c r="C77" s="50"/>
      <c r="E77" s="50"/>
    </row>
    <row r="78" spans="1:7">
      <c r="B78" s="50"/>
      <c r="C78" s="50"/>
      <c r="E78" s="50"/>
    </row>
    <row r="79" spans="1:7">
      <c r="B79" s="50"/>
      <c r="C79" s="50"/>
      <c r="E79" s="50"/>
    </row>
    <row r="80" spans="1:7">
      <c r="B80" s="50"/>
      <c r="C80" s="50"/>
      <c r="E80" s="50"/>
    </row>
  </sheetData>
  <mergeCells count="17">
    <mergeCell ref="B1:D1"/>
    <mergeCell ref="B21:C21"/>
    <mergeCell ref="D21:E21"/>
    <mergeCell ref="S14:W14"/>
    <mergeCell ref="J23:N23"/>
    <mergeCell ref="S23:W23"/>
    <mergeCell ref="B75:F75"/>
    <mergeCell ref="S47:W47"/>
    <mergeCell ref="B55:C55"/>
    <mergeCell ref="D55:E55"/>
    <mergeCell ref="F55:G55"/>
    <mergeCell ref="H55:I55"/>
    <mergeCell ref="J45:K45"/>
    <mergeCell ref="L45:M45"/>
    <mergeCell ref="B29:F29"/>
    <mergeCell ref="B36:F36"/>
    <mergeCell ref="M14:Q1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AB252"/>
  <sheetViews>
    <sheetView zoomScale="132" workbookViewId="0">
      <selection activeCell="K14" sqref="K14"/>
    </sheetView>
  </sheetViews>
  <sheetFormatPr baseColWidth="10" defaultRowHeight="16"/>
  <cols>
    <col min="4" max="4" width="16.33203125" bestFit="1" customWidth="1"/>
  </cols>
  <sheetData>
    <row r="1" spans="1:28">
      <c r="A1" t="s">
        <v>71</v>
      </c>
      <c r="B1" t="s">
        <v>72</v>
      </c>
      <c r="D1" t="s">
        <v>32</v>
      </c>
      <c r="E1">
        <f>COUNT(B:B)</f>
        <v>163</v>
      </c>
      <c r="F1" t="s">
        <v>768</v>
      </c>
      <c r="H1" s="106" t="s">
        <v>767</v>
      </c>
      <c r="I1" s="106" t="s">
        <v>20</v>
      </c>
      <c r="J1" t="s">
        <v>767</v>
      </c>
      <c r="N1" t="s">
        <v>769</v>
      </c>
    </row>
    <row r="2" spans="1:28">
      <c r="A2" t="s">
        <v>1025</v>
      </c>
      <c r="B2">
        <v>386</v>
      </c>
      <c r="D2" t="s">
        <v>1132</v>
      </c>
      <c r="E2">
        <f>MAX(B:B)</f>
        <v>386</v>
      </c>
      <c r="F2" t="s">
        <v>768</v>
      </c>
      <c r="H2" s="98" t="s">
        <v>1083</v>
      </c>
      <c r="I2" s="98">
        <v>34</v>
      </c>
      <c r="N2" t="s">
        <v>768</v>
      </c>
    </row>
    <row r="3" spans="1:28">
      <c r="A3" t="s">
        <v>1023</v>
      </c>
      <c r="B3">
        <v>90</v>
      </c>
      <c r="D3" t="s">
        <v>1133</v>
      </c>
      <c r="E3">
        <f>MIN(B:B)</f>
        <v>6</v>
      </c>
      <c r="F3" t="s">
        <v>772</v>
      </c>
      <c r="H3" s="99" t="s">
        <v>1081</v>
      </c>
      <c r="I3" s="99">
        <v>36</v>
      </c>
      <c r="N3" t="s">
        <v>768</v>
      </c>
    </row>
    <row r="4" spans="1:28">
      <c r="A4" t="s">
        <v>1021</v>
      </c>
      <c r="B4">
        <v>220</v>
      </c>
      <c r="D4" t="s">
        <v>540</v>
      </c>
      <c r="E4">
        <f>AVERAGE(B:B)</f>
        <v>66.134969325153378</v>
      </c>
      <c r="F4" t="s">
        <v>772</v>
      </c>
      <c r="H4" s="98" t="s">
        <v>1079</v>
      </c>
      <c r="I4" s="98">
        <v>36</v>
      </c>
      <c r="N4" t="s">
        <v>772</v>
      </c>
    </row>
    <row r="5" spans="1:28">
      <c r="A5" t="s">
        <v>1013</v>
      </c>
      <c r="B5">
        <v>350</v>
      </c>
      <c r="D5" t="s">
        <v>1134</v>
      </c>
      <c r="E5">
        <f>MEDIAN(B:B)</f>
        <v>46</v>
      </c>
      <c r="F5" t="s">
        <v>775</v>
      </c>
      <c r="H5" s="99" t="s">
        <v>1077</v>
      </c>
      <c r="I5" s="99">
        <v>30</v>
      </c>
      <c r="N5" t="s">
        <v>772</v>
      </c>
      <c r="W5" t="s">
        <v>776</v>
      </c>
      <c r="X5" t="s">
        <v>777</v>
      </c>
      <c r="Y5" t="s">
        <v>778</v>
      </c>
      <c r="Z5" t="s">
        <v>71</v>
      </c>
      <c r="AA5" t="s">
        <v>72</v>
      </c>
      <c r="AB5" t="s">
        <v>73</v>
      </c>
    </row>
    <row r="6" spans="1:28">
      <c r="A6" t="s">
        <v>1011</v>
      </c>
      <c r="B6">
        <v>40</v>
      </c>
      <c r="E6" s="79"/>
      <c r="F6" t="s">
        <v>780</v>
      </c>
      <c r="H6" s="98" t="s">
        <v>1075</v>
      </c>
      <c r="I6" s="98">
        <v>100</v>
      </c>
      <c r="N6" t="s">
        <v>775</v>
      </c>
      <c r="V6" t="s">
        <v>781</v>
      </c>
      <c r="X6" t="s">
        <v>782</v>
      </c>
      <c r="Y6" t="str">
        <f>Table12[[#This Row],[Prefix]]&amp;Table12[[#This Row],[Sufix]]</f>
        <v>CB</v>
      </c>
      <c r="Z6" t="s">
        <v>783</v>
      </c>
    </row>
    <row r="7" spans="1:28">
      <c r="A7" t="s">
        <v>1015</v>
      </c>
      <c r="B7">
        <v>30</v>
      </c>
      <c r="F7" t="s">
        <v>785</v>
      </c>
      <c r="H7" s="99" t="s">
        <v>1073</v>
      </c>
      <c r="I7" s="99">
        <v>48</v>
      </c>
      <c r="N7" t="s">
        <v>780</v>
      </c>
      <c r="V7" t="s">
        <v>781</v>
      </c>
      <c r="W7">
        <v>1</v>
      </c>
      <c r="X7" t="s">
        <v>786</v>
      </c>
      <c r="Y7" t="str">
        <f>Table12[[#This Row],[Prefix]]&amp;Table12[[#This Row],[Sufix]]</f>
        <v>1E</v>
      </c>
    </row>
    <row r="8" spans="1:28">
      <c r="A8" t="s">
        <v>1009</v>
      </c>
      <c r="B8">
        <v>48</v>
      </c>
      <c r="F8" t="s">
        <v>788</v>
      </c>
      <c r="H8" s="98" t="s">
        <v>1071</v>
      </c>
      <c r="I8" s="98">
        <v>74</v>
      </c>
      <c r="N8" t="s">
        <v>785</v>
      </c>
      <c r="V8" t="s">
        <v>781</v>
      </c>
      <c r="W8">
        <v>2</v>
      </c>
      <c r="X8" t="s">
        <v>786</v>
      </c>
      <c r="Y8" t="str">
        <f>Table12[[#This Row],[Prefix]]&amp;Table12[[#This Row],[Sufix]]</f>
        <v>2E</v>
      </c>
    </row>
    <row r="9" spans="1:28">
      <c r="A9" t="s">
        <v>1019</v>
      </c>
      <c r="B9">
        <v>20</v>
      </c>
      <c r="F9" t="s">
        <v>790</v>
      </c>
      <c r="H9" s="99" t="s">
        <v>1069</v>
      </c>
      <c r="I9" s="99">
        <v>36</v>
      </c>
      <c r="N9" t="s">
        <v>788</v>
      </c>
      <c r="V9" t="s">
        <v>781</v>
      </c>
      <c r="W9">
        <v>3</v>
      </c>
      <c r="X9" t="s">
        <v>786</v>
      </c>
      <c r="Y9" t="str">
        <f>Table12[[#This Row],[Prefix]]&amp;Table12[[#This Row],[Sufix]]</f>
        <v>3E</v>
      </c>
    </row>
    <row r="10" spans="1:28">
      <c r="A10" t="s">
        <v>1007</v>
      </c>
      <c r="B10">
        <v>48</v>
      </c>
      <c r="F10" t="s">
        <v>792</v>
      </c>
      <c r="H10" s="98" t="s">
        <v>1067</v>
      </c>
      <c r="I10" s="98">
        <v>30</v>
      </c>
      <c r="N10" t="s">
        <v>790</v>
      </c>
      <c r="V10" t="s">
        <v>781</v>
      </c>
      <c r="W10">
        <v>4</v>
      </c>
      <c r="X10" t="s">
        <v>786</v>
      </c>
      <c r="Y10" t="str">
        <f>Table12[[#This Row],[Prefix]]&amp;Table12[[#This Row],[Sufix]]</f>
        <v>4E</v>
      </c>
    </row>
    <row r="11" spans="1:28">
      <c r="A11" t="s">
        <v>1005</v>
      </c>
      <c r="B11">
        <v>30</v>
      </c>
      <c r="F11" t="s">
        <v>794</v>
      </c>
      <c r="H11" s="99" t="s">
        <v>1065</v>
      </c>
      <c r="I11" s="99">
        <v>36</v>
      </c>
      <c r="N11" t="s">
        <v>792</v>
      </c>
      <c r="V11" t="s">
        <v>781</v>
      </c>
      <c r="W11">
        <v>6</v>
      </c>
      <c r="X11" t="s">
        <v>786</v>
      </c>
      <c r="Y11" t="str">
        <f>Table12[[#This Row],[Prefix]]&amp;Table12[[#This Row],[Sufix]]</f>
        <v>6E</v>
      </c>
    </row>
    <row r="12" spans="1:28">
      <c r="A12" t="s">
        <v>1003</v>
      </c>
      <c r="B12">
        <v>12</v>
      </c>
      <c r="F12" t="s">
        <v>796</v>
      </c>
      <c r="H12" s="98" t="s">
        <v>1063</v>
      </c>
      <c r="I12" s="98">
        <v>48</v>
      </c>
      <c r="N12" t="s">
        <v>794</v>
      </c>
      <c r="V12" t="s">
        <v>781</v>
      </c>
      <c r="W12">
        <v>8</v>
      </c>
      <c r="X12" t="s">
        <v>786</v>
      </c>
      <c r="Y12" t="str">
        <f>Table12[[#This Row],[Prefix]]&amp;Table12[[#This Row],[Sufix]]</f>
        <v>8E</v>
      </c>
    </row>
    <row r="13" spans="1:28">
      <c r="A13" t="s">
        <v>1001</v>
      </c>
      <c r="B13">
        <v>12</v>
      </c>
      <c r="F13" t="s">
        <v>798</v>
      </c>
      <c r="H13" s="99" t="s">
        <v>1061</v>
      </c>
      <c r="I13" s="99">
        <v>30</v>
      </c>
      <c r="N13" t="s">
        <v>796</v>
      </c>
      <c r="V13" t="s">
        <v>781</v>
      </c>
      <c r="W13">
        <v>10</v>
      </c>
      <c r="X13" t="s">
        <v>786</v>
      </c>
      <c r="Y13" t="str">
        <f>Table12[[#This Row],[Prefix]]&amp;Table12[[#This Row],[Sufix]]</f>
        <v>10E</v>
      </c>
    </row>
    <row r="14" spans="1:28">
      <c r="A14" t="s">
        <v>999</v>
      </c>
      <c r="B14">
        <v>48</v>
      </c>
      <c r="F14" t="s">
        <v>800</v>
      </c>
      <c r="H14" s="98" t="s">
        <v>1059</v>
      </c>
      <c r="I14" s="98">
        <v>100</v>
      </c>
      <c r="N14" t="s">
        <v>798</v>
      </c>
      <c r="V14" t="s">
        <v>781</v>
      </c>
      <c r="X14" t="s">
        <v>801</v>
      </c>
      <c r="Y14" t="str">
        <f>Table12[[#This Row],[Prefix]]&amp;Table12[[#This Row],[Sufix]]</f>
        <v>EB</v>
      </c>
      <c r="Z14" t="s">
        <v>802</v>
      </c>
      <c r="AA14" t="s">
        <v>803</v>
      </c>
    </row>
    <row r="15" spans="1:28">
      <c r="A15" t="s">
        <v>1017</v>
      </c>
      <c r="B15">
        <v>28</v>
      </c>
      <c r="F15" s="80" t="s">
        <v>805</v>
      </c>
      <c r="H15" s="99" t="s">
        <v>1057</v>
      </c>
      <c r="I15" s="99">
        <v>72</v>
      </c>
      <c r="N15" t="s">
        <v>800</v>
      </c>
      <c r="V15" t="s">
        <v>781</v>
      </c>
      <c r="W15">
        <v>4</v>
      </c>
      <c r="X15" t="s">
        <v>806</v>
      </c>
      <c r="Y15" t="str">
        <f>Table12[[#This Row],[Prefix]]&amp;Table12[[#This Row],[Sufix]]</f>
        <v>4ES</v>
      </c>
    </row>
    <row r="16" spans="1:28">
      <c r="A16" t="s">
        <v>1083</v>
      </c>
      <c r="B16">
        <v>34</v>
      </c>
      <c r="F16" s="81" t="s">
        <v>808</v>
      </c>
      <c r="H16" s="98" t="s">
        <v>1055</v>
      </c>
      <c r="I16" s="98">
        <v>30</v>
      </c>
      <c r="N16" s="80" t="s">
        <v>805</v>
      </c>
    </row>
    <row r="17" spans="1:28">
      <c r="A17" t="s">
        <v>1081</v>
      </c>
      <c r="B17">
        <v>36</v>
      </c>
      <c r="F17" t="s">
        <v>810</v>
      </c>
      <c r="H17" s="99" t="s">
        <v>1053</v>
      </c>
      <c r="I17" s="99">
        <v>74</v>
      </c>
      <c r="N17" s="81" t="s">
        <v>808</v>
      </c>
      <c r="V17" t="s">
        <v>781</v>
      </c>
      <c r="W17">
        <v>1</v>
      </c>
      <c r="X17" t="s">
        <v>811</v>
      </c>
      <c r="Y17" t="str">
        <f>Table12[[#This Row],[Prefix]]&amp;Table12[[#This Row],[Sufix]]</f>
        <v>1S</v>
      </c>
    </row>
    <row r="18" spans="1:28">
      <c r="A18" t="s">
        <v>1079</v>
      </c>
      <c r="B18">
        <v>36</v>
      </c>
      <c r="F18" s="81" t="s">
        <v>813</v>
      </c>
      <c r="H18" s="98" t="s">
        <v>1051</v>
      </c>
      <c r="I18" s="98">
        <v>80</v>
      </c>
      <c r="N18" t="s">
        <v>810</v>
      </c>
      <c r="V18" t="s">
        <v>781</v>
      </c>
      <c r="W18">
        <v>2</v>
      </c>
      <c r="X18" t="s">
        <v>811</v>
      </c>
      <c r="Y18" t="str">
        <f>Table12[[#This Row],[Prefix]]&amp;Table12[[#This Row],[Sufix]]</f>
        <v>2S</v>
      </c>
    </row>
    <row r="19" spans="1:28">
      <c r="A19" t="s">
        <v>1077</v>
      </c>
      <c r="B19">
        <v>30</v>
      </c>
      <c r="F19" s="81" t="s">
        <v>815</v>
      </c>
      <c r="H19" s="99" t="s">
        <v>1049</v>
      </c>
      <c r="I19" s="99">
        <v>24</v>
      </c>
      <c r="N19" s="81" t="s">
        <v>813</v>
      </c>
      <c r="V19" t="s">
        <v>781</v>
      </c>
      <c r="W19">
        <v>3</v>
      </c>
      <c r="X19" t="s">
        <v>811</v>
      </c>
      <c r="Y19" t="str">
        <f>Table12[[#This Row],[Prefix]]&amp;Table12[[#This Row],[Sufix]]</f>
        <v>3S</v>
      </c>
    </row>
    <row r="20" spans="1:28">
      <c r="A20" t="s">
        <v>1075</v>
      </c>
      <c r="B20">
        <v>100</v>
      </c>
      <c r="F20" s="81" t="s">
        <v>817</v>
      </c>
      <c r="H20" s="98" t="s">
        <v>1047</v>
      </c>
      <c r="I20" s="98">
        <v>24</v>
      </c>
      <c r="N20" s="81" t="s">
        <v>815</v>
      </c>
      <c r="V20" t="s">
        <v>781</v>
      </c>
      <c r="W20">
        <v>4</v>
      </c>
      <c r="X20" t="s">
        <v>811</v>
      </c>
      <c r="Y20" t="str">
        <f>Table12[[#This Row],[Prefix]]&amp;Table12[[#This Row],[Sufix]]</f>
        <v>4S</v>
      </c>
    </row>
    <row r="21" spans="1:28">
      <c r="A21" t="s">
        <v>1073</v>
      </c>
      <c r="B21">
        <v>48</v>
      </c>
      <c r="F21" s="81" t="s">
        <v>819</v>
      </c>
      <c r="H21" s="99" t="s">
        <v>1045</v>
      </c>
      <c r="I21" s="99">
        <v>80</v>
      </c>
      <c r="N21" s="81" t="s">
        <v>817</v>
      </c>
      <c r="V21" t="s">
        <v>781</v>
      </c>
      <c r="W21">
        <v>5</v>
      </c>
      <c r="X21" t="s">
        <v>811</v>
      </c>
      <c r="Y21" t="str">
        <f>Table12[[#This Row],[Prefix]]&amp;Table12[[#This Row],[Sufix]]</f>
        <v>5S</v>
      </c>
    </row>
    <row r="22" spans="1:28">
      <c r="A22" t="s">
        <v>1071</v>
      </c>
      <c r="B22">
        <v>74</v>
      </c>
      <c r="F22" s="81" t="s">
        <v>821</v>
      </c>
      <c r="H22" s="98" t="s">
        <v>1043</v>
      </c>
      <c r="I22" s="98">
        <v>36</v>
      </c>
      <c r="N22" s="81" t="s">
        <v>819</v>
      </c>
      <c r="V22" t="s">
        <v>781</v>
      </c>
      <c r="W22">
        <v>4</v>
      </c>
      <c r="X22" t="s">
        <v>822</v>
      </c>
      <c r="Y22" t="str">
        <f>Table12[[#This Row],[Prefix]]&amp;Table12[[#This Row],[Sufix]]</f>
        <v>4SA</v>
      </c>
    </row>
    <row r="23" spans="1:28">
      <c r="A23" t="s">
        <v>1069</v>
      </c>
      <c r="B23">
        <v>36</v>
      </c>
      <c r="F23" s="81" t="s">
        <v>824</v>
      </c>
      <c r="H23" s="99" t="s">
        <v>1041</v>
      </c>
      <c r="I23" s="99">
        <v>36</v>
      </c>
      <c r="N23" s="81" t="s">
        <v>821</v>
      </c>
      <c r="V23" t="s">
        <v>781</v>
      </c>
      <c r="X23" t="s">
        <v>825</v>
      </c>
      <c r="Y23" t="str">
        <f>Table12[[#This Row],[Prefix]]&amp;Table12[[#This Row],[Sufix]]</f>
        <v>TE</v>
      </c>
      <c r="Z23" t="s">
        <v>826</v>
      </c>
      <c r="AA23">
        <v>220</v>
      </c>
      <c r="AB23">
        <v>90</v>
      </c>
    </row>
    <row r="24" spans="1:28">
      <c r="A24" t="s">
        <v>1067</v>
      </c>
      <c r="B24">
        <v>30</v>
      </c>
      <c r="F24" s="81" t="s">
        <v>788</v>
      </c>
      <c r="H24" s="98" t="s">
        <v>1039</v>
      </c>
      <c r="I24" s="98">
        <v>24</v>
      </c>
      <c r="N24" s="81" t="s">
        <v>824</v>
      </c>
      <c r="V24" t="s">
        <v>781</v>
      </c>
      <c r="X24" t="s">
        <v>828</v>
      </c>
      <c r="Y24" t="str">
        <f>Table12[[#This Row],[Prefix]]&amp;Table12[[#This Row],[Sufix]]</f>
        <v>UH</v>
      </c>
      <c r="Z24" t="s">
        <v>829</v>
      </c>
      <c r="AA24">
        <v>386</v>
      </c>
    </row>
    <row r="25" spans="1:28">
      <c r="A25" t="s">
        <v>1065</v>
      </c>
      <c r="B25">
        <v>36</v>
      </c>
      <c r="F25" s="81" t="s">
        <v>790</v>
      </c>
      <c r="H25" s="99" t="s">
        <v>1037</v>
      </c>
      <c r="I25" s="99">
        <v>24</v>
      </c>
      <c r="N25" s="81" t="s">
        <v>788</v>
      </c>
      <c r="V25" t="s">
        <v>781</v>
      </c>
      <c r="W25">
        <v>1</v>
      </c>
      <c r="X25" t="s">
        <v>831</v>
      </c>
      <c r="Y25" t="str">
        <f>Table12[[#This Row],[Prefix]]&amp;Table12[[#This Row],[Sufix]]</f>
        <v>1W</v>
      </c>
    </row>
    <row r="26" spans="1:28">
      <c r="A26" t="s">
        <v>1063</v>
      </c>
      <c r="B26">
        <v>48</v>
      </c>
      <c r="F26" s="81" t="s">
        <v>792</v>
      </c>
      <c r="H26" s="98" t="s">
        <v>1035</v>
      </c>
      <c r="I26" s="98">
        <v>78</v>
      </c>
      <c r="N26" s="81" t="s">
        <v>790</v>
      </c>
      <c r="V26" t="s">
        <v>781</v>
      </c>
      <c r="W26">
        <v>2</v>
      </c>
      <c r="X26" t="s">
        <v>831</v>
      </c>
      <c r="Y26" t="str">
        <f>Table12[[#This Row],[Prefix]]&amp;Table12[[#This Row],[Sufix]]</f>
        <v>2W</v>
      </c>
    </row>
    <row r="27" spans="1:28">
      <c r="A27" t="s">
        <v>1061</v>
      </c>
      <c r="B27">
        <v>30</v>
      </c>
      <c r="F27" s="81" t="s">
        <v>794</v>
      </c>
      <c r="H27" s="99" t="s">
        <v>1033</v>
      </c>
      <c r="I27" s="99">
        <v>150</v>
      </c>
      <c r="N27" s="81" t="s">
        <v>792</v>
      </c>
      <c r="V27" t="s">
        <v>781</v>
      </c>
      <c r="W27">
        <v>3</v>
      </c>
      <c r="X27" t="s">
        <v>831</v>
      </c>
      <c r="Y27" t="str">
        <f>Table12[[#This Row],[Prefix]]&amp;Table12[[#This Row],[Sufix]]</f>
        <v>3W</v>
      </c>
    </row>
    <row r="28" spans="1:28">
      <c r="A28" t="s">
        <v>1059</v>
      </c>
      <c r="B28">
        <v>100</v>
      </c>
      <c r="F28" s="81" t="s">
        <v>796</v>
      </c>
      <c r="H28" s="98" t="s">
        <v>1031</v>
      </c>
      <c r="I28" s="98">
        <v>150</v>
      </c>
      <c r="N28" s="81" t="s">
        <v>794</v>
      </c>
      <c r="V28" t="s">
        <v>781</v>
      </c>
      <c r="W28">
        <v>4</v>
      </c>
      <c r="X28" t="s">
        <v>831</v>
      </c>
      <c r="Y28" t="str">
        <f>Table12[[#This Row],[Prefix]]&amp;Table12[[#This Row],[Sufix]]</f>
        <v>4W</v>
      </c>
    </row>
    <row r="29" spans="1:28">
      <c r="A29" t="s">
        <v>1057</v>
      </c>
      <c r="B29">
        <v>72</v>
      </c>
      <c r="F29" s="81" t="s">
        <v>836</v>
      </c>
      <c r="H29" s="99" t="s">
        <v>1029</v>
      </c>
      <c r="I29" s="99">
        <v>350</v>
      </c>
      <c r="N29" s="81" t="s">
        <v>796</v>
      </c>
      <c r="V29" t="s">
        <v>781</v>
      </c>
      <c r="W29">
        <v>5</v>
      </c>
      <c r="X29" t="s">
        <v>831</v>
      </c>
      <c r="Y29" t="str">
        <f>Table12[[#This Row],[Prefix]]&amp;Table12[[#This Row],[Sufix]]</f>
        <v>5W</v>
      </c>
    </row>
    <row r="30" spans="1:28">
      <c r="A30" t="s">
        <v>1055</v>
      </c>
      <c r="B30">
        <v>30</v>
      </c>
      <c r="F30" s="81" t="s">
        <v>838</v>
      </c>
      <c r="H30" s="107" t="s">
        <v>1027</v>
      </c>
      <c r="I30" s="107">
        <v>350</v>
      </c>
      <c r="N30" s="81" t="s">
        <v>836</v>
      </c>
      <c r="V30" t="s">
        <v>781</v>
      </c>
      <c r="W30">
        <v>6</v>
      </c>
      <c r="X30" t="s">
        <v>831</v>
      </c>
      <c r="Y30" t="str">
        <f>Table12[[#This Row],[Prefix]]&amp;Table12[[#This Row],[Sufix]]</f>
        <v>6W</v>
      </c>
    </row>
    <row r="31" spans="1:28">
      <c r="A31" t="s">
        <v>1053</v>
      </c>
      <c r="B31">
        <v>74</v>
      </c>
      <c r="F31" s="81" t="s">
        <v>798</v>
      </c>
      <c r="N31" s="81" t="s">
        <v>838</v>
      </c>
      <c r="V31" t="s">
        <v>781</v>
      </c>
      <c r="W31">
        <v>7</v>
      </c>
      <c r="X31" t="s">
        <v>831</v>
      </c>
      <c r="Y31" t="str">
        <f>Table12[[#This Row],[Prefix]]&amp;Table12[[#This Row],[Sufix]]</f>
        <v>7W</v>
      </c>
    </row>
    <row r="32" spans="1:28">
      <c r="A32" t="s">
        <v>1051</v>
      </c>
      <c r="B32">
        <v>80</v>
      </c>
      <c r="F32" s="81" t="s">
        <v>817</v>
      </c>
      <c r="N32" s="81" t="s">
        <v>798</v>
      </c>
      <c r="V32" t="s">
        <v>781</v>
      </c>
      <c r="W32">
        <v>8</v>
      </c>
      <c r="X32" t="s">
        <v>831</v>
      </c>
      <c r="Y32" t="str">
        <f>Table12[[#This Row],[Prefix]]&amp;Table12[[#This Row],[Sufix]]</f>
        <v>8W</v>
      </c>
    </row>
    <row r="33" spans="1:25">
      <c r="A33" t="s">
        <v>1049</v>
      </c>
      <c r="B33">
        <v>24</v>
      </c>
      <c r="F33" s="81" t="s">
        <v>800</v>
      </c>
      <c r="N33" s="81" t="s">
        <v>817</v>
      </c>
      <c r="V33" t="s">
        <v>781</v>
      </c>
      <c r="W33">
        <v>9</v>
      </c>
      <c r="X33" t="s">
        <v>831</v>
      </c>
      <c r="Y33" t="str">
        <f>Table12[[#This Row],[Prefix]]&amp;Table12[[#This Row],[Sufix]]</f>
        <v>9W</v>
      </c>
    </row>
    <row r="34" spans="1:25">
      <c r="A34" t="s">
        <v>1047</v>
      </c>
      <c r="B34">
        <v>24</v>
      </c>
      <c r="F34" s="81" t="s">
        <v>843</v>
      </c>
      <c r="N34" s="81" t="s">
        <v>800</v>
      </c>
      <c r="V34" t="s">
        <v>781</v>
      </c>
      <c r="W34">
        <v>10</v>
      </c>
      <c r="X34" t="s">
        <v>831</v>
      </c>
      <c r="Y34" t="str">
        <f>Table12[[#This Row],[Prefix]]&amp;Table12[[#This Row],[Sufix]]</f>
        <v>10W</v>
      </c>
    </row>
    <row r="35" spans="1:25">
      <c r="A35" t="s">
        <v>1045</v>
      </c>
      <c r="B35">
        <v>80</v>
      </c>
      <c r="F35" s="81" t="s">
        <v>845</v>
      </c>
      <c r="N35" s="81" t="s">
        <v>843</v>
      </c>
      <c r="V35" t="s">
        <v>781</v>
      </c>
      <c r="W35">
        <v>3</v>
      </c>
      <c r="X35" t="s">
        <v>846</v>
      </c>
      <c r="Y35" t="str">
        <f>Table12[[#This Row],[Prefix]]&amp;Table12[[#This Row],[Sufix]]</f>
        <v>3WA</v>
      </c>
    </row>
    <row r="36" spans="1:25">
      <c r="A36" t="s">
        <v>1043</v>
      </c>
      <c r="B36">
        <v>36</v>
      </c>
      <c r="F36" s="81" t="s">
        <v>848</v>
      </c>
      <c r="N36" s="81" t="s">
        <v>845</v>
      </c>
      <c r="V36" t="s">
        <v>781</v>
      </c>
      <c r="W36">
        <v>1</v>
      </c>
      <c r="X36" t="s">
        <v>849</v>
      </c>
      <c r="Y36" t="str">
        <f>Table12[[#This Row],[Prefix]]&amp;Table12[[#This Row],[Sufix]]</f>
        <v>1WN</v>
      </c>
    </row>
    <row r="37" spans="1:25">
      <c r="A37" t="s">
        <v>1041</v>
      </c>
      <c r="B37">
        <v>36</v>
      </c>
      <c r="F37" s="81" t="s">
        <v>851</v>
      </c>
      <c r="N37" s="81" t="s">
        <v>848</v>
      </c>
      <c r="V37" t="s">
        <v>781</v>
      </c>
      <c r="W37">
        <v>3</v>
      </c>
      <c r="X37" t="s">
        <v>849</v>
      </c>
      <c r="Y37" t="str">
        <f>Table12[[#This Row],[Prefix]]&amp;Table12[[#This Row],[Sufix]]</f>
        <v>3WN</v>
      </c>
    </row>
    <row r="38" spans="1:25">
      <c r="A38" t="s">
        <v>1039</v>
      </c>
      <c r="B38">
        <v>24</v>
      </c>
      <c r="F38" s="81" t="s">
        <v>853</v>
      </c>
      <c r="N38" s="81" t="s">
        <v>851</v>
      </c>
      <c r="V38" t="s">
        <v>781</v>
      </c>
      <c r="W38">
        <v>6</v>
      </c>
      <c r="X38" t="s">
        <v>854</v>
      </c>
      <c r="Y38" t="str">
        <f>Table12[[#This Row],[Prefix]]&amp;Table12[[#This Row],[Sufix]]</f>
        <v>6WS</v>
      </c>
    </row>
    <row r="39" spans="1:25">
      <c r="A39" t="s">
        <v>1037</v>
      </c>
      <c r="B39">
        <v>24</v>
      </c>
      <c r="F39" s="81" t="s">
        <v>856</v>
      </c>
      <c r="N39" s="81" t="s">
        <v>853</v>
      </c>
    </row>
    <row r="40" spans="1:25">
      <c r="A40" t="s">
        <v>1035</v>
      </c>
      <c r="B40">
        <v>78</v>
      </c>
      <c r="F40" s="81" t="s">
        <v>858</v>
      </c>
      <c r="N40" s="81" t="s">
        <v>856</v>
      </c>
    </row>
    <row r="41" spans="1:25">
      <c r="A41" t="s">
        <v>1033</v>
      </c>
      <c r="B41">
        <v>150</v>
      </c>
      <c r="F41" s="81" t="s">
        <v>860</v>
      </c>
      <c r="N41" s="81" t="s">
        <v>858</v>
      </c>
    </row>
    <row r="42" spans="1:25">
      <c r="A42" t="s">
        <v>1031</v>
      </c>
      <c r="B42">
        <v>150</v>
      </c>
      <c r="F42" s="81" t="s">
        <v>862</v>
      </c>
      <c r="N42" s="81" t="s">
        <v>860</v>
      </c>
    </row>
    <row r="43" spans="1:25">
      <c r="A43" t="s">
        <v>1029</v>
      </c>
      <c r="B43">
        <v>350</v>
      </c>
      <c r="F43" s="81" t="s">
        <v>864</v>
      </c>
      <c r="N43" s="81" t="s">
        <v>862</v>
      </c>
    </row>
    <row r="44" spans="1:25">
      <c r="A44" t="s">
        <v>1027</v>
      </c>
      <c r="B44">
        <v>350</v>
      </c>
      <c r="F44" s="81" t="s">
        <v>866</v>
      </c>
      <c r="N44" s="81" t="s">
        <v>864</v>
      </c>
    </row>
    <row r="45" spans="1:25">
      <c r="A45" t="s">
        <v>980</v>
      </c>
      <c r="B45">
        <v>40</v>
      </c>
      <c r="F45" s="81" t="s">
        <v>868</v>
      </c>
      <c r="N45" s="81" t="s">
        <v>866</v>
      </c>
    </row>
    <row r="46" spans="1:25">
      <c r="A46" t="s">
        <v>978</v>
      </c>
      <c r="B46">
        <v>124</v>
      </c>
      <c r="F46" s="81" t="s">
        <v>870</v>
      </c>
      <c r="N46" s="81" t="s">
        <v>868</v>
      </c>
    </row>
    <row r="47" spans="1:25">
      <c r="A47" t="s">
        <v>976</v>
      </c>
      <c r="B47">
        <v>32</v>
      </c>
      <c r="F47" s="81" t="s">
        <v>872</v>
      </c>
      <c r="N47" s="81" t="s">
        <v>870</v>
      </c>
    </row>
    <row r="48" spans="1:25">
      <c r="A48" t="s">
        <v>974</v>
      </c>
      <c r="B48">
        <v>24</v>
      </c>
      <c r="F48" s="81" t="s">
        <v>874</v>
      </c>
      <c r="N48" s="81" t="s">
        <v>872</v>
      </c>
    </row>
    <row r="49" spans="1:14">
      <c r="A49" t="s">
        <v>972</v>
      </c>
      <c r="B49">
        <v>72</v>
      </c>
      <c r="F49" s="81" t="s">
        <v>876</v>
      </c>
      <c r="N49" s="81" t="s">
        <v>874</v>
      </c>
    </row>
    <row r="50" spans="1:14">
      <c r="A50" t="s">
        <v>970</v>
      </c>
      <c r="B50">
        <v>24</v>
      </c>
      <c r="F50" s="81" t="s">
        <v>878</v>
      </c>
      <c r="N50" s="81" t="s">
        <v>876</v>
      </c>
    </row>
    <row r="51" spans="1:14">
      <c r="A51" t="s">
        <v>968</v>
      </c>
      <c r="B51">
        <v>28</v>
      </c>
      <c r="F51" s="81" t="s">
        <v>880</v>
      </c>
      <c r="N51" s="81" t="s">
        <v>878</v>
      </c>
    </row>
    <row r="52" spans="1:14">
      <c r="A52" t="s">
        <v>966</v>
      </c>
      <c r="B52">
        <v>6</v>
      </c>
      <c r="F52" s="81" t="s">
        <v>882</v>
      </c>
      <c r="N52" s="81" t="s">
        <v>880</v>
      </c>
    </row>
    <row r="53" spans="1:14">
      <c r="A53" t="s">
        <v>964</v>
      </c>
      <c r="B53">
        <v>6</v>
      </c>
      <c r="F53" s="81" t="s">
        <v>884</v>
      </c>
      <c r="N53" s="81" t="s">
        <v>882</v>
      </c>
    </row>
    <row r="54" spans="1:14">
      <c r="A54" t="s">
        <v>962</v>
      </c>
      <c r="B54">
        <v>48</v>
      </c>
      <c r="F54" s="81" t="s">
        <v>886</v>
      </c>
      <c r="N54" s="81" t="s">
        <v>884</v>
      </c>
    </row>
    <row r="55" spans="1:14">
      <c r="A55" t="s">
        <v>960</v>
      </c>
      <c r="B55">
        <v>20</v>
      </c>
      <c r="F55" s="81" t="s">
        <v>888</v>
      </c>
      <c r="N55" s="81" t="s">
        <v>886</v>
      </c>
    </row>
    <row r="56" spans="1:14">
      <c r="A56" t="s">
        <v>958</v>
      </c>
      <c r="B56">
        <v>20</v>
      </c>
      <c r="F56" s="81" t="s">
        <v>890</v>
      </c>
      <c r="N56" s="81" t="s">
        <v>888</v>
      </c>
    </row>
    <row r="57" spans="1:14">
      <c r="A57" t="s">
        <v>956</v>
      </c>
      <c r="B57">
        <v>18</v>
      </c>
      <c r="F57" s="81" t="s">
        <v>892</v>
      </c>
      <c r="N57" s="81" t="s">
        <v>890</v>
      </c>
    </row>
    <row r="58" spans="1:14">
      <c r="A58" t="s">
        <v>954</v>
      </c>
      <c r="B58">
        <v>20</v>
      </c>
      <c r="F58" s="81" t="s">
        <v>894</v>
      </c>
      <c r="N58" s="81" t="s">
        <v>892</v>
      </c>
    </row>
    <row r="59" spans="1:14">
      <c r="A59" t="s">
        <v>952</v>
      </c>
      <c r="B59">
        <v>50</v>
      </c>
      <c r="F59" s="81" t="s">
        <v>894</v>
      </c>
      <c r="N59" s="81" t="s">
        <v>894</v>
      </c>
    </row>
    <row r="60" spans="1:14">
      <c r="A60" t="s">
        <v>950</v>
      </c>
      <c r="B60">
        <v>20</v>
      </c>
      <c r="F60" s="81" t="s">
        <v>878</v>
      </c>
      <c r="N60" s="81" t="s">
        <v>894</v>
      </c>
    </row>
    <row r="61" spans="1:14">
      <c r="A61" t="s">
        <v>948</v>
      </c>
      <c r="B61">
        <v>20</v>
      </c>
      <c r="F61" s="81" t="s">
        <v>878</v>
      </c>
      <c r="N61" s="81" t="s">
        <v>878</v>
      </c>
    </row>
    <row r="62" spans="1:14">
      <c r="A62" t="s">
        <v>946</v>
      </c>
      <c r="B62">
        <v>30</v>
      </c>
      <c r="F62" s="81" t="s">
        <v>880</v>
      </c>
      <c r="N62" s="81" t="s">
        <v>878</v>
      </c>
    </row>
    <row r="63" spans="1:14">
      <c r="A63" t="s">
        <v>945</v>
      </c>
      <c r="B63">
        <v>20</v>
      </c>
      <c r="F63" s="81" t="s">
        <v>882</v>
      </c>
      <c r="N63" s="81" t="s">
        <v>880</v>
      </c>
    </row>
    <row r="64" spans="1:14">
      <c r="A64" t="s">
        <v>944</v>
      </c>
      <c r="B64">
        <v>20</v>
      </c>
      <c r="F64" s="81" t="s">
        <v>884</v>
      </c>
      <c r="N64" s="81" t="s">
        <v>882</v>
      </c>
    </row>
    <row r="65" spans="1:14">
      <c r="A65" t="s">
        <v>943</v>
      </c>
      <c r="B65">
        <v>30</v>
      </c>
      <c r="F65" s="81" t="s">
        <v>886</v>
      </c>
      <c r="N65" s="81" t="s">
        <v>884</v>
      </c>
    </row>
    <row r="66" spans="1:14">
      <c r="A66" t="s">
        <v>942</v>
      </c>
      <c r="B66">
        <v>18</v>
      </c>
      <c r="F66" s="81" t="s">
        <v>886</v>
      </c>
      <c r="N66" s="81" t="s">
        <v>886</v>
      </c>
    </row>
    <row r="67" spans="1:14">
      <c r="A67" t="s">
        <v>941</v>
      </c>
      <c r="B67">
        <v>24</v>
      </c>
      <c r="F67" s="81" t="s">
        <v>888</v>
      </c>
      <c r="N67" s="81" t="s">
        <v>886</v>
      </c>
    </row>
    <row r="68" spans="1:14">
      <c r="A68" t="s">
        <v>940</v>
      </c>
      <c r="B68">
        <v>40</v>
      </c>
      <c r="F68" s="81" t="s">
        <v>890</v>
      </c>
      <c r="N68" s="81" t="s">
        <v>888</v>
      </c>
    </row>
    <row r="69" spans="1:14">
      <c r="A69" t="s">
        <v>938</v>
      </c>
      <c r="B69">
        <v>118</v>
      </c>
      <c r="F69" s="81" t="s">
        <v>892</v>
      </c>
      <c r="N69" s="81" t="s">
        <v>890</v>
      </c>
    </row>
    <row r="70" spans="1:14">
      <c r="A70" t="s">
        <v>937</v>
      </c>
      <c r="B70">
        <v>30</v>
      </c>
      <c r="F70" s="81" t="s">
        <v>894</v>
      </c>
      <c r="N70" s="81" t="s">
        <v>892</v>
      </c>
    </row>
    <row r="71" spans="1:14">
      <c r="A71" t="s">
        <v>935</v>
      </c>
      <c r="B71">
        <v>30</v>
      </c>
      <c r="F71" s="81" t="s">
        <v>908</v>
      </c>
      <c r="N71" s="81" t="s">
        <v>894</v>
      </c>
    </row>
    <row r="72" spans="1:14">
      <c r="A72" t="s">
        <v>933</v>
      </c>
      <c r="B72">
        <v>30</v>
      </c>
      <c r="F72" s="81" t="s">
        <v>910</v>
      </c>
      <c r="N72" s="81" t="s">
        <v>908</v>
      </c>
    </row>
    <row r="73" spans="1:14">
      <c r="A73" t="s">
        <v>931</v>
      </c>
      <c r="B73">
        <v>198</v>
      </c>
      <c r="F73" s="81" t="s">
        <v>912</v>
      </c>
      <c r="N73" s="81" t="s">
        <v>910</v>
      </c>
    </row>
    <row r="74" spans="1:14">
      <c r="A74" t="s">
        <v>929</v>
      </c>
      <c r="B74">
        <v>76</v>
      </c>
      <c r="F74" s="81" t="s">
        <v>914</v>
      </c>
      <c r="N74" s="81" t="s">
        <v>912</v>
      </c>
    </row>
    <row r="75" spans="1:14">
      <c r="A75" t="s">
        <v>927</v>
      </c>
      <c r="B75">
        <v>45</v>
      </c>
      <c r="F75" s="81" t="s">
        <v>916</v>
      </c>
      <c r="N75" s="81" t="s">
        <v>914</v>
      </c>
    </row>
    <row r="76" spans="1:14">
      <c r="A76" t="s">
        <v>925</v>
      </c>
      <c r="B76">
        <v>76</v>
      </c>
      <c r="F76" s="81" t="s">
        <v>918</v>
      </c>
      <c r="N76" s="81" t="s">
        <v>916</v>
      </c>
    </row>
    <row r="77" spans="1:14">
      <c r="A77" t="s">
        <v>923</v>
      </c>
      <c r="B77">
        <v>110</v>
      </c>
      <c r="F77" s="81" t="s">
        <v>920</v>
      </c>
      <c r="N77" s="81" t="s">
        <v>918</v>
      </c>
    </row>
    <row r="78" spans="1:14">
      <c r="A78" t="s">
        <v>921</v>
      </c>
      <c r="B78">
        <v>112</v>
      </c>
      <c r="F78" s="81" t="s">
        <v>922</v>
      </c>
      <c r="N78" s="81" t="s">
        <v>920</v>
      </c>
    </row>
    <row r="79" spans="1:14">
      <c r="A79" t="s">
        <v>857</v>
      </c>
      <c r="B79">
        <v>20</v>
      </c>
      <c r="F79" s="81" t="s">
        <v>924</v>
      </c>
      <c r="N79" s="81" t="s">
        <v>922</v>
      </c>
    </row>
    <row r="80" spans="1:14">
      <c r="A80" t="s">
        <v>855</v>
      </c>
      <c r="B80">
        <v>30</v>
      </c>
      <c r="F80" s="81" t="s">
        <v>926</v>
      </c>
      <c r="N80" s="81" t="s">
        <v>924</v>
      </c>
    </row>
    <row r="81" spans="1:14">
      <c r="A81" t="s">
        <v>852</v>
      </c>
      <c r="B81">
        <v>102</v>
      </c>
      <c r="F81" s="81" t="s">
        <v>928</v>
      </c>
      <c r="N81" s="81" t="s">
        <v>926</v>
      </c>
    </row>
    <row r="82" spans="1:14">
      <c r="A82" t="s">
        <v>850</v>
      </c>
      <c r="B82">
        <v>18</v>
      </c>
      <c r="F82" s="81" t="s">
        <v>930</v>
      </c>
      <c r="N82" s="81" t="s">
        <v>928</v>
      </c>
    </row>
    <row r="83" spans="1:14">
      <c r="A83" t="s">
        <v>847</v>
      </c>
      <c r="B83">
        <v>24</v>
      </c>
      <c r="F83" s="81" t="s">
        <v>932</v>
      </c>
      <c r="N83" s="81" t="s">
        <v>930</v>
      </c>
    </row>
    <row r="84" spans="1:14">
      <c r="A84" t="s">
        <v>844</v>
      </c>
      <c r="B84">
        <v>30</v>
      </c>
      <c r="F84" s="81" t="s">
        <v>934</v>
      </c>
      <c r="N84" s="81" t="s">
        <v>932</v>
      </c>
    </row>
    <row r="85" spans="1:14">
      <c r="A85" t="s">
        <v>842</v>
      </c>
      <c r="B85">
        <v>22</v>
      </c>
      <c r="F85" s="81" t="s">
        <v>936</v>
      </c>
      <c r="N85" s="81" t="s">
        <v>934</v>
      </c>
    </row>
    <row r="86" spans="1:14">
      <c r="A86" t="s">
        <v>841</v>
      </c>
      <c r="B86">
        <v>50</v>
      </c>
      <c r="F86" s="81" t="s">
        <v>914</v>
      </c>
      <c r="N86" s="81" t="s">
        <v>936</v>
      </c>
    </row>
    <row r="87" spans="1:14">
      <c r="A87" t="s">
        <v>840</v>
      </c>
      <c r="B87">
        <v>56</v>
      </c>
      <c r="F87" s="81" t="s">
        <v>939</v>
      </c>
      <c r="N87" s="81" t="s">
        <v>914</v>
      </c>
    </row>
    <row r="88" spans="1:14">
      <c r="A88" t="s">
        <v>919</v>
      </c>
      <c r="B88">
        <v>25</v>
      </c>
      <c r="F88" s="81" t="s">
        <v>916</v>
      </c>
      <c r="N88" s="81" t="s">
        <v>939</v>
      </c>
    </row>
    <row r="89" spans="1:14">
      <c r="A89" t="s">
        <v>917</v>
      </c>
      <c r="B89">
        <v>15</v>
      </c>
      <c r="F89" s="81" t="s">
        <v>918</v>
      </c>
      <c r="N89" s="81" t="s">
        <v>916</v>
      </c>
    </row>
    <row r="90" spans="1:14">
      <c r="A90" t="s">
        <v>915</v>
      </c>
      <c r="B90">
        <v>40</v>
      </c>
      <c r="F90" s="81" t="s">
        <v>920</v>
      </c>
      <c r="N90" s="81" t="s">
        <v>918</v>
      </c>
    </row>
    <row r="91" spans="1:14">
      <c r="A91" t="s">
        <v>913</v>
      </c>
      <c r="B91">
        <v>112</v>
      </c>
      <c r="F91" s="81" t="s">
        <v>920</v>
      </c>
      <c r="N91" s="81" t="s">
        <v>920</v>
      </c>
    </row>
    <row r="92" spans="1:14">
      <c r="A92" t="s">
        <v>911</v>
      </c>
      <c r="B92">
        <v>169</v>
      </c>
      <c r="F92" s="81" t="s">
        <v>922</v>
      </c>
      <c r="N92" s="81" t="s">
        <v>920</v>
      </c>
    </row>
    <row r="93" spans="1:14">
      <c r="A93" t="s">
        <v>909</v>
      </c>
      <c r="B93">
        <v>104</v>
      </c>
      <c r="F93" s="81" t="s">
        <v>922</v>
      </c>
      <c r="N93" s="81" t="s">
        <v>922</v>
      </c>
    </row>
    <row r="94" spans="1:14">
      <c r="A94" t="s">
        <v>907</v>
      </c>
      <c r="B94">
        <v>80</v>
      </c>
      <c r="F94" s="81" t="s">
        <v>947</v>
      </c>
      <c r="N94" s="81" t="s">
        <v>922</v>
      </c>
    </row>
    <row r="95" spans="1:14">
      <c r="A95" t="s">
        <v>906</v>
      </c>
      <c r="B95">
        <v>90</v>
      </c>
      <c r="F95" s="81" t="s">
        <v>949</v>
      </c>
      <c r="N95" s="81" t="s">
        <v>947</v>
      </c>
    </row>
    <row r="96" spans="1:14">
      <c r="A96" t="s">
        <v>905</v>
      </c>
      <c r="B96">
        <v>52</v>
      </c>
      <c r="F96" s="81" t="s">
        <v>951</v>
      </c>
      <c r="N96" s="81" t="s">
        <v>949</v>
      </c>
    </row>
    <row r="97" spans="1:14">
      <c r="A97" t="s">
        <v>997</v>
      </c>
      <c r="B97">
        <v>96</v>
      </c>
      <c r="F97" s="81" t="s">
        <v>953</v>
      </c>
      <c r="N97" s="81" t="s">
        <v>951</v>
      </c>
    </row>
    <row r="98" spans="1:14">
      <c r="A98" t="s">
        <v>995</v>
      </c>
      <c r="B98">
        <v>96</v>
      </c>
      <c r="F98" s="81" t="s">
        <v>955</v>
      </c>
      <c r="N98" s="81" t="s">
        <v>953</v>
      </c>
    </row>
    <row r="99" spans="1:14">
      <c r="A99" t="s">
        <v>797</v>
      </c>
      <c r="B99">
        <v>60</v>
      </c>
      <c r="F99" s="81" t="s">
        <v>957</v>
      </c>
      <c r="N99" s="81" t="s">
        <v>955</v>
      </c>
    </row>
    <row r="100" spans="1:14">
      <c r="A100" t="s">
        <v>812</v>
      </c>
      <c r="B100">
        <v>84</v>
      </c>
      <c r="F100" s="81" t="s">
        <v>959</v>
      </c>
      <c r="N100" s="81" t="s">
        <v>957</v>
      </c>
    </row>
    <row r="101" spans="1:14">
      <c r="A101" t="s">
        <v>814</v>
      </c>
      <c r="B101">
        <v>156</v>
      </c>
      <c r="F101" s="81" t="s">
        <v>961</v>
      </c>
      <c r="N101" s="81" t="s">
        <v>959</v>
      </c>
    </row>
    <row r="102" spans="1:14">
      <c r="A102" t="s">
        <v>795</v>
      </c>
      <c r="B102">
        <v>114</v>
      </c>
      <c r="F102" s="81" t="s">
        <v>963</v>
      </c>
      <c r="N102" s="81" t="s">
        <v>961</v>
      </c>
    </row>
    <row r="103" spans="1:14">
      <c r="A103" t="s">
        <v>827</v>
      </c>
      <c r="B103">
        <v>34</v>
      </c>
      <c r="F103" s="81" t="s">
        <v>965</v>
      </c>
      <c r="N103" s="81" t="s">
        <v>963</v>
      </c>
    </row>
    <row r="104" spans="1:14">
      <c r="A104" t="s">
        <v>823</v>
      </c>
      <c r="B104">
        <v>64</v>
      </c>
      <c r="F104" s="81" t="s">
        <v>967</v>
      </c>
      <c r="N104" s="81" t="s">
        <v>965</v>
      </c>
    </row>
    <row r="105" spans="1:14">
      <c r="A105" t="s">
        <v>793</v>
      </c>
      <c r="B105">
        <v>24</v>
      </c>
      <c r="F105" s="81" t="s">
        <v>969</v>
      </c>
      <c r="N105" s="81" t="s">
        <v>967</v>
      </c>
    </row>
    <row r="106" spans="1:14">
      <c r="A106" t="s">
        <v>791</v>
      </c>
      <c r="B106">
        <v>140</v>
      </c>
      <c r="F106" s="81" t="s">
        <v>971</v>
      </c>
      <c r="N106" s="81" t="s">
        <v>969</v>
      </c>
    </row>
    <row r="107" spans="1:14">
      <c r="A107" t="s">
        <v>789</v>
      </c>
      <c r="B107">
        <v>30</v>
      </c>
      <c r="F107" s="81" t="s">
        <v>973</v>
      </c>
      <c r="N107" s="81" t="s">
        <v>971</v>
      </c>
    </row>
    <row r="108" spans="1:14">
      <c r="A108" t="s">
        <v>787</v>
      </c>
      <c r="B108">
        <v>60</v>
      </c>
      <c r="F108" s="81" t="s">
        <v>975</v>
      </c>
      <c r="N108" s="81" t="s">
        <v>973</v>
      </c>
    </row>
    <row r="109" spans="1:14">
      <c r="A109" t="s">
        <v>784</v>
      </c>
      <c r="B109">
        <v>24</v>
      </c>
      <c r="F109" s="81" t="s">
        <v>977</v>
      </c>
      <c r="N109" s="81" t="s">
        <v>975</v>
      </c>
    </row>
    <row r="110" spans="1:14">
      <c r="A110" t="s">
        <v>820</v>
      </c>
      <c r="B110">
        <v>56</v>
      </c>
      <c r="F110" s="81" t="s">
        <v>979</v>
      </c>
      <c r="N110" s="81" t="s">
        <v>977</v>
      </c>
    </row>
    <row r="111" spans="1:14">
      <c r="A111" t="s">
        <v>818</v>
      </c>
      <c r="B111">
        <v>24</v>
      </c>
      <c r="F111" s="81" t="s">
        <v>975</v>
      </c>
      <c r="N111" s="81" t="s">
        <v>979</v>
      </c>
    </row>
    <row r="112" spans="1:14">
      <c r="A112" t="s">
        <v>816</v>
      </c>
      <c r="B112">
        <v>68</v>
      </c>
      <c r="F112" s="81" t="s">
        <v>977</v>
      </c>
      <c r="N112" s="81" t="s">
        <v>975</v>
      </c>
    </row>
    <row r="113" spans="1:14">
      <c r="A113" t="s">
        <v>904</v>
      </c>
      <c r="B113">
        <v>36</v>
      </c>
      <c r="F113" s="81" t="s">
        <v>979</v>
      </c>
      <c r="N113" s="81" t="s">
        <v>977</v>
      </c>
    </row>
    <row r="114" spans="1:14">
      <c r="A114" t="s">
        <v>903</v>
      </c>
      <c r="B114">
        <v>132</v>
      </c>
      <c r="F114" s="80" t="s">
        <v>984</v>
      </c>
      <c r="N114" s="81" t="s">
        <v>979</v>
      </c>
    </row>
    <row r="115" spans="1:14">
      <c r="A115" t="s">
        <v>902</v>
      </c>
      <c r="B115">
        <v>198</v>
      </c>
      <c r="F115" s="80" t="s">
        <v>986</v>
      </c>
      <c r="N115" s="80" t="s">
        <v>984</v>
      </c>
    </row>
    <row r="116" spans="1:14">
      <c r="A116" t="s">
        <v>993</v>
      </c>
      <c r="B116">
        <v>70</v>
      </c>
      <c r="F116" s="80" t="s">
        <v>988</v>
      </c>
      <c r="N116" s="80" t="s">
        <v>986</v>
      </c>
    </row>
    <row r="117" spans="1:14">
      <c r="A117" t="s">
        <v>839</v>
      </c>
      <c r="B117">
        <v>92</v>
      </c>
      <c r="F117" s="80" t="s">
        <v>990</v>
      </c>
      <c r="N117" s="80" t="s">
        <v>988</v>
      </c>
    </row>
    <row r="118" spans="1:14">
      <c r="A118" t="s">
        <v>837</v>
      </c>
      <c r="B118">
        <v>90</v>
      </c>
      <c r="F118" s="80" t="s">
        <v>992</v>
      </c>
      <c r="N118" s="80" t="s">
        <v>990</v>
      </c>
    </row>
    <row r="119" spans="1:14">
      <c r="A119" t="s">
        <v>835</v>
      </c>
      <c r="B119">
        <v>38</v>
      </c>
      <c r="F119" s="80" t="s">
        <v>994</v>
      </c>
      <c r="N119" s="80" t="s">
        <v>992</v>
      </c>
    </row>
    <row r="120" spans="1:14">
      <c r="A120" t="s">
        <v>834</v>
      </c>
      <c r="B120">
        <v>14</v>
      </c>
      <c r="F120" s="80" t="s">
        <v>996</v>
      </c>
      <c r="N120" s="80" t="s">
        <v>994</v>
      </c>
    </row>
    <row r="121" spans="1:14">
      <c r="A121" t="s">
        <v>833</v>
      </c>
      <c r="B121">
        <v>94</v>
      </c>
      <c r="F121" s="80" t="s">
        <v>998</v>
      </c>
      <c r="N121" s="80" t="s">
        <v>996</v>
      </c>
    </row>
    <row r="122" spans="1:14">
      <c r="A122" t="s">
        <v>832</v>
      </c>
      <c r="B122">
        <v>90</v>
      </c>
      <c r="F122" s="80" t="s">
        <v>1000</v>
      </c>
      <c r="N122" s="80" t="s">
        <v>998</v>
      </c>
    </row>
    <row r="123" spans="1:14">
      <c r="A123" t="s">
        <v>830</v>
      </c>
      <c r="B123">
        <v>133</v>
      </c>
      <c r="F123" s="80" t="s">
        <v>1002</v>
      </c>
      <c r="N123" s="80" t="s">
        <v>1000</v>
      </c>
    </row>
    <row r="124" spans="1:14">
      <c r="A124" t="s">
        <v>779</v>
      </c>
      <c r="B124">
        <v>24</v>
      </c>
      <c r="F124" s="80" t="s">
        <v>1004</v>
      </c>
      <c r="N124" s="80" t="s">
        <v>1002</v>
      </c>
    </row>
    <row r="125" spans="1:14">
      <c r="A125" t="s">
        <v>774</v>
      </c>
      <c r="B125">
        <v>156</v>
      </c>
      <c r="F125" s="80" t="s">
        <v>1006</v>
      </c>
      <c r="N125" s="80" t="s">
        <v>1004</v>
      </c>
    </row>
    <row r="126" spans="1:14">
      <c r="A126" t="s">
        <v>809</v>
      </c>
      <c r="B126">
        <v>60</v>
      </c>
      <c r="F126" s="80" t="s">
        <v>1008</v>
      </c>
      <c r="N126" s="80" t="s">
        <v>1006</v>
      </c>
    </row>
    <row r="127" spans="1:14">
      <c r="A127" t="s">
        <v>807</v>
      </c>
      <c r="B127">
        <v>18</v>
      </c>
      <c r="F127" s="80" t="s">
        <v>1010</v>
      </c>
      <c r="N127" s="80" t="s">
        <v>1008</v>
      </c>
    </row>
    <row r="128" spans="1:14">
      <c r="A128" t="s">
        <v>804</v>
      </c>
      <c r="B128">
        <v>18</v>
      </c>
      <c r="F128" s="80" t="s">
        <v>1012</v>
      </c>
      <c r="N128" s="80" t="s">
        <v>1010</v>
      </c>
    </row>
    <row r="129" spans="1:14">
      <c r="A129" t="s">
        <v>799</v>
      </c>
      <c r="B129">
        <v>56</v>
      </c>
      <c r="F129" s="80" t="s">
        <v>1014</v>
      </c>
      <c r="N129" s="80" t="s">
        <v>1012</v>
      </c>
    </row>
    <row r="130" spans="1:14">
      <c r="A130" t="s">
        <v>900</v>
      </c>
      <c r="B130">
        <v>24</v>
      </c>
      <c r="F130" s="80" t="s">
        <v>1016</v>
      </c>
      <c r="N130" s="80" t="s">
        <v>1014</v>
      </c>
    </row>
    <row r="131" spans="1:14">
      <c r="A131" t="s">
        <v>899</v>
      </c>
      <c r="B131">
        <v>24</v>
      </c>
      <c r="F131" s="80" t="s">
        <v>1018</v>
      </c>
      <c r="N131" s="80" t="s">
        <v>1016</v>
      </c>
    </row>
    <row r="132" spans="1:14">
      <c r="A132" t="s">
        <v>898</v>
      </c>
      <c r="B132">
        <v>32</v>
      </c>
      <c r="F132" s="80" t="s">
        <v>1020</v>
      </c>
      <c r="N132" s="80" t="s">
        <v>1018</v>
      </c>
    </row>
    <row r="133" spans="1:14">
      <c r="A133" t="s">
        <v>897</v>
      </c>
      <c r="B133">
        <v>24</v>
      </c>
      <c r="F133" s="80" t="s">
        <v>1022</v>
      </c>
      <c r="N133" s="80" t="s">
        <v>1020</v>
      </c>
    </row>
    <row r="134" spans="1:14">
      <c r="A134" t="s">
        <v>896</v>
      </c>
      <c r="B134">
        <v>8</v>
      </c>
      <c r="F134" s="80" t="s">
        <v>1024</v>
      </c>
      <c r="N134" s="80" t="s">
        <v>1022</v>
      </c>
    </row>
    <row r="135" spans="1:14">
      <c r="A135" t="s">
        <v>895</v>
      </c>
      <c r="B135">
        <v>8</v>
      </c>
      <c r="F135" s="80" t="s">
        <v>1026</v>
      </c>
      <c r="N135" s="80" t="s">
        <v>1024</v>
      </c>
    </row>
    <row r="136" spans="1:14">
      <c r="A136" t="s">
        <v>893</v>
      </c>
      <c r="B136">
        <v>36</v>
      </c>
      <c r="F136" s="80" t="s">
        <v>1028</v>
      </c>
      <c r="N136" s="80" t="s">
        <v>1026</v>
      </c>
    </row>
    <row r="137" spans="1:14">
      <c r="A137" t="s">
        <v>891</v>
      </c>
      <c r="B137">
        <v>30</v>
      </c>
      <c r="F137" s="80" t="s">
        <v>1030</v>
      </c>
      <c r="N137" s="80" t="s">
        <v>1028</v>
      </c>
    </row>
    <row r="138" spans="1:14">
      <c r="A138" t="s">
        <v>889</v>
      </c>
      <c r="B138">
        <v>30</v>
      </c>
      <c r="F138" s="80" t="s">
        <v>1032</v>
      </c>
      <c r="N138" s="80" t="s">
        <v>1030</v>
      </c>
    </row>
    <row r="139" spans="1:14">
      <c r="A139" t="s">
        <v>887</v>
      </c>
      <c r="B139">
        <v>54</v>
      </c>
      <c r="F139" s="80" t="s">
        <v>1034</v>
      </c>
      <c r="N139" s="80" t="s">
        <v>1032</v>
      </c>
    </row>
    <row r="140" spans="1:14">
      <c r="A140" t="s">
        <v>885</v>
      </c>
      <c r="B140">
        <v>54</v>
      </c>
      <c r="F140" s="80" t="s">
        <v>1036</v>
      </c>
      <c r="N140" s="80" t="s">
        <v>1034</v>
      </c>
    </row>
    <row r="141" spans="1:14">
      <c r="A141" t="s">
        <v>901</v>
      </c>
      <c r="B141">
        <v>60</v>
      </c>
      <c r="F141" s="80" t="s">
        <v>1038</v>
      </c>
      <c r="N141" s="80" t="s">
        <v>1036</v>
      </c>
    </row>
    <row r="142" spans="1:14">
      <c r="A142" t="s">
        <v>883</v>
      </c>
      <c r="B142">
        <v>162</v>
      </c>
      <c r="F142" s="81" t="s">
        <v>1040</v>
      </c>
      <c r="N142" s="80" t="s">
        <v>1038</v>
      </c>
    </row>
    <row r="143" spans="1:14">
      <c r="A143" t="s">
        <v>881</v>
      </c>
      <c r="B143">
        <v>24</v>
      </c>
      <c r="F143" s="81" t="s">
        <v>1042</v>
      </c>
      <c r="N143" s="81" t="s">
        <v>1040</v>
      </c>
    </row>
    <row r="144" spans="1:14">
      <c r="A144" t="s">
        <v>879</v>
      </c>
      <c r="B144">
        <v>42</v>
      </c>
      <c r="F144" s="81" t="s">
        <v>1044</v>
      </c>
      <c r="N144" s="81" t="s">
        <v>1042</v>
      </c>
    </row>
    <row r="145" spans="1:14">
      <c r="A145" t="s">
        <v>991</v>
      </c>
      <c r="B145">
        <v>50</v>
      </c>
      <c r="F145" s="81" t="s">
        <v>1046</v>
      </c>
      <c r="N145" s="81" t="s">
        <v>1044</v>
      </c>
    </row>
    <row r="146" spans="1:14">
      <c r="A146" t="s">
        <v>773</v>
      </c>
      <c r="B146">
        <v>46</v>
      </c>
      <c r="F146" s="81" t="s">
        <v>1048</v>
      </c>
      <c r="N146" s="81" t="s">
        <v>1046</v>
      </c>
    </row>
    <row r="147" spans="1:14">
      <c r="A147" t="s">
        <v>771</v>
      </c>
      <c r="B147">
        <v>48</v>
      </c>
      <c r="F147" s="81" t="s">
        <v>1050</v>
      </c>
      <c r="N147" s="81" t="s">
        <v>1048</v>
      </c>
    </row>
    <row r="148" spans="1:14">
      <c r="A148" t="s">
        <v>770</v>
      </c>
      <c r="B148">
        <v>60</v>
      </c>
      <c r="F148" s="81" t="s">
        <v>1052</v>
      </c>
      <c r="N148" s="81" t="s">
        <v>1050</v>
      </c>
    </row>
    <row r="149" spans="1:14">
      <c r="A149" t="s">
        <v>989</v>
      </c>
      <c r="B149">
        <v>116</v>
      </c>
      <c r="F149" s="81" t="s">
        <v>1054</v>
      </c>
      <c r="N149" s="81" t="s">
        <v>1052</v>
      </c>
    </row>
    <row r="150" spans="1:14">
      <c r="A150" t="s">
        <v>987</v>
      </c>
      <c r="B150">
        <v>36</v>
      </c>
      <c r="F150" s="81" t="s">
        <v>1056</v>
      </c>
      <c r="N150" s="81" t="s">
        <v>1054</v>
      </c>
    </row>
    <row r="151" spans="1:14">
      <c r="A151" t="s">
        <v>985</v>
      </c>
      <c r="B151">
        <v>36</v>
      </c>
      <c r="F151" s="81" t="s">
        <v>1058</v>
      </c>
      <c r="N151" s="81" t="s">
        <v>1056</v>
      </c>
    </row>
    <row r="152" spans="1:14">
      <c r="A152" t="s">
        <v>983</v>
      </c>
      <c r="B152">
        <v>32</v>
      </c>
      <c r="F152" s="80" t="s">
        <v>1060</v>
      </c>
      <c r="N152" s="81" t="s">
        <v>1058</v>
      </c>
    </row>
    <row r="153" spans="1:14">
      <c r="A153" t="s">
        <v>982</v>
      </c>
      <c r="B153">
        <v>20</v>
      </c>
      <c r="F153" s="81" t="s">
        <v>1062</v>
      </c>
      <c r="N153" s="80" t="s">
        <v>1060</v>
      </c>
    </row>
    <row r="154" spans="1:14">
      <c r="A154" t="s">
        <v>981</v>
      </c>
      <c r="B154">
        <v>99</v>
      </c>
      <c r="F154" s="81" t="s">
        <v>1064</v>
      </c>
      <c r="N154" s="81" t="s">
        <v>1062</v>
      </c>
    </row>
    <row r="155" spans="1:14">
      <c r="A155" t="s">
        <v>877</v>
      </c>
      <c r="B155">
        <v>50</v>
      </c>
      <c r="F155" s="81" t="s">
        <v>1066</v>
      </c>
      <c r="N155" s="81" t="s">
        <v>1064</v>
      </c>
    </row>
    <row r="156" spans="1:14">
      <c r="A156" t="s">
        <v>875</v>
      </c>
      <c r="B156">
        <v>84</v>
      </c>
      <c r="F156" s="81" t="s">
        <v>1068</v>
      </c>
      <c r="N156" s="81" t="s">
        <v>1066</v>
      </c>
    </row>
    <row r="157" spans="1:14">
      <c r="A157" t="s">
        <v>873</v>
      </c>
      <c r="B157">
        <v>50</v>
      </c>
      <c r="F157" s="81" t="s">
        <v>1070</v>
      </c>
      <c r="N157" s="81" t="s">
        <v>1068</v>
      </c>
    </row>
    <row r="158" spans="1:14">
      <c r="A158" t="s">
        <v>871</v>
      </c>
      <c r="B158">
        <v>68</v>
      </c>
      <c r="F158" s="81" t="s">
        <v>1072</v>
      </c>
      <c r="N158" s="81" t="s">
        <v>1070</v>
      </c>
    </row>
    <row r="159" spans="1:14">
      <c r="A159" t="s">
        <v>869</v>
      </c>
      <c r="B159">
        <v>128</v>
      </c>
      <c r="F159" s="81" t="s">
        <v>1074</v>
      </c>
      <c r="N159" s="81" t="s">
        <v>1072</v>
      </c>
    </row>
    <row r="160" spans="1:14">
      <c r="A160" t="s">
        <v>867</v>
      </c>
      <c r="B160">
        <v>250</v>
      </c>
      <c r="F160" s="81" t="s">
        <v>1076</v>
      </c>
      <c r="N160" s="81" t="s">
        <v>1074</v>
      </c>
    </row>
    <row r="161" spans="1:14">
      <c r="A161" t="s">
        <v>865</v>
      </c>
      <c r="B161">
        <v>128</v>
      </c>
      <c r="F161" s="81" t="s">
        <v>1078</v>
      </c>
      <c r="N161" s="81" t="s">
        <v>1076</v>
      </c>
    </row>
    <row r="162" spans="1:14">
      <c r="A162" t="s">
        <v>863</v>
      </c>
      <c r="B162">
        <v>84</v>
      </c>
      <c r="F162" s="81" t="s">
        <v>1080</v>
      </c>
      <c r="N162" s="81" t="s">
        <v>1078</v>
      </c>
    </row>
    <row r="163" spans="1:14">
      <c r="A163" t="s">
        <v>861</v>
      </c>
      <c r="B163">
        <v>50</v>
      </c>
      <c r="F163" s="81" t="s">
        <v>1082</v>
      </c>
      <c r="N163" s="81" t="s">
        <v>1080</v>
      </c>
    </row>
    <row r="164" spans="1:14">
      <c r="A164" t="s">
        <v>859</v>
      </c>
      <c r="B164">
        <v>84</v>
      </c>
      <c r="F164" s="81" t="s">
        <v>1084</v>
      </c>
      <c r="N164" s="81" t="s">
        <v>1082</v>
      </c>
    </row>
    <row r="165" spans="1:14">
      <c r="F165" s="81" t="s">
        <v>1085</v>
      </c>
      <c r="N165" s="81" t="s">
        <v>1084</v>
      </c>
    </row>
    <row r="166" spans="1:14">
      <c r="F166" s="81" t="s">
        <v>1086</v>
      </c>
      <c r="N166" s="81" t="s">
        <v>1085</v>
      </c>
    </row>
    <row r="167" spans="1:14">
      <c r="F167" s="80" t="s">
        <v>1087</v>
      </c>
      <c r="N167" s="81" t="s">
        <v>1086</v>
      </c>
    </row>
    <row r="168" spans="1:14">
      <c r="F168" s="80" t="s">
        <v>1087</v>
      </c>
      <c r="N168" s="80" t="s">
        <v>1087</v>
      </c>
    </row>
    <row r="169" spans="1:14">
      <c r="F169" s="80" t="s">
        <v>1087</v>
      </c>
      <c r="N169" s="80" t="s">
        <v>1087</v>
      </c>
    </row>
    <row r="170" spans="1:14">
      <c r="F170" s="80" t="s">
        <v>1088</v>
      </c>
      <c r="N170" s="80" t="s">
        <v>1087</v>
      </c>
    </row>
    <row r="171" spans="1:14">
      <c r="F171" s="80" t="s">
        <v>1088</v>
      </c>
      <c r="N171" s="80" t="s">
        <v>1088</v>
      </c>
    </row>
    <row r="172" spans="1:14">
      <c r="F172" s="80" t="s">
        <v>1088</v>
      </c>
      <c r="N172" s="80" t="s">
        <v>1088</v>
      </c>
    </row>
    <row r="173" spans="1:14">
      <c r="F173" s="80" t="s">
        <v>1089</v>
      </c>
      <c r="N173" s="80" t="s">
        <v>1088</v>
      </c>
    </row>
    <row r="174" spans="1:14">
      <c r="F174" s="80" t="s">
        <v>1089</v>
      </c>
      <c r="N174" s="80" t="s">
        <v>1089</v>
      </c>
    </row>
    <row r="175" spans="1:14">
      <c r="F175" s="80" t="s">
        <v>1089</v>
      </c>
      <c r="N175" s="80" t="s">
        <v>1089</v>
      </c>
    </row>
    <row r="176" spans="1:14">
      <c r="F176" s="80" t="s">
        <v>1090</v>
      </c>
      <c r="N176" s="80" t="s">
        <v>1089</v>
      </c>
    </row>
    <row r="177" spans="6:14">
      <c r="F177" s="80" t="s">
        <v>1090</v>
      </c>
      <c r="N177" s="80" t="s">
        <v>1090</v>
      </c>
    </row>
    <row r="178" spans="6:14">
      <c r="F178" s="80" t="s">
        <v>1090</v>
      </c>
      <c r="N178" s="80" t="s">
        <v>1090</v>
      </c>
    </row>
    <row r="179" spans="6:14">
      <c r="F179" s="80" t="s">
        <v>1091</v>
      </c>
      <c r="N179" s="80" t="s">
        <v>1090</v>
      </c>
    </row>
    <row r="180" spans="6:14">
      <c r="F180" s="80" t="s">
        <v>1091</v>
      </c>
      <c r="N180" s="80" t="s">
        <v>1091</v>
      </c>
    </row>
    <row r="181" spans="6:14">
      <c r="F181" s="80" t="s">
        <v>1091</v>
      </c>
      <c r="N181" s="80" t="s">
        <v>1091</v>
      </c>
    </row>
    <row r="182" spans="6:14">
      <c r="F182" s="80" t="s">
        <v>1092</v>
      </c>
      <c r="N182" s="80" t="s">
        <v>1091</v>
      </c>
    </row>
    <row r="183" spans="6:14">
      <c r="F183" s="80" t="s">
        <v>1092</v>
      </c>
      <c r="N183" s="80" t="s">
        <v>1092</v>
      </c>
    </row>
    <row r="184" spans="6:14">
      <c r="F184" s="80" t="s">
        <v>1092</v>
      </c>
      <c r="N184" s="80" t="s">
        <v>1092</v>
      </c>
    </row>
    <row r="185" spans="6:14">
      <c r="F185" s="80" t="s">
        <v>1093</v>
      </c>
      <c r="N185" s="80" t="s">
        <v>1092</v>
      </c>
    </row>
    <row r="186" spans="6:14">
      <c r="F186" s="80" t="s">
        <v>1093</v>
      </c>
      <c r="N186" s="80" t="s">
        <v>1093</v>
      </c>
    </row>
    <row r="187" spans="6:14">
      <c r="F187" s="80" t="s">
        <v>1093</v>
      </c>
      <c r="N187" s="80" t="s">
        <v>1093</v>
      </c>
    </row>
    <row r="188" spans="6:14">
      <c r="F188" s="80" t="s">
        <v>1094</v>
      </c>
      <c r="N188" s="80" t="s">
        <v>1093</v>
      </c>
    </row>
    <row r="189" spans="6:14">
      <c r="F189" s="80" t="s">
        <v>1094</v>
      </c>
      <c r="N189" s="80" t="s">
        <v>1094</v>
      </c>
    </row>
    <row r="190" spans="6:14">
      <c r="F190" s="80" t="s">
        <v>1094</v>
      </c>
      <c r="N190" s="80" t="s">
        <v>1094</v>
      </c>
    </row>
    <row r="191" spans="6:14">
      <c r="F191" s="80" t="s">
        <v>1095</v>
      </c>
      <c r="N191" s="80" t="s">
        <v>1094</v>
      </c>
    </row>
    <row r="192" spans="6:14">
      <c r="F192" s="80" t="s">
        <v>1095</v>
      </c>
      <c r="N192" s="80" t="s">
        <v>1095</v>
      </c>
    </row>
    <row r="193" spans="6:14">
      <c r="F193" s="80" t="s">
        <v>1095</v>
      </c>
      <c r="N193" s="80" t="s">
        <v>1095</v>
      </c>
    </row>
    <row r="194" spans="6:14">
      <c r="F194" s="80" t="s">
        <v>1096</v>
      </c>
      <c r="N194" s="80" t="s">
        <v>1095</v>
      </c>
    </row>
    <row r="195" spans="6:14">
      <c r="F195" s="80" t="s">
        <v>1096</v>
      </c>
      <c r="N195" s="80" t="s">
        <v>1096</v>
      </c>
    </row>
    <row r="196" spans="6:14">
      <c r="F196" s="80" t="s">
        <v>1096</v>
      </c>
      <c r="N196" s="80" t="s">
        <v>1096</v>
      </c>
    </row>
    <row r="197" spans="6:14">
      <c r="F197" s="80" t="s">
        <v>1097</v>
      </c>
      <c r="N197" s="80" t="s">
        <v>1096</v>
      </c>
    </row>
    <row r="198" spans="6:14">
      <c r="F198" s="80" t="s">
        <v>1097</v>
      </c>
      <c r="N198" s="80" t="s">
        <v>1097</v>
      </c>
    </row>
    <row r="199" spans="6:14">
      <c r="F199" s="80" t="s">
        <v>1097</v>
      </c>
      <c r="N199" s="80" t="s">
        <v>1097</v>
      </c>
    </row>
    <row r="200" spans="6:14">
      <c r="F200" s="80" t="s">
        <v>1098</v>
      </c>
      <c r="N200" s="80" t="s">
        <v>1097</v>
      </c>
    </row>
    <row r="201" spans="6:14">
      <c r="F201" s="80" t="s">
        <v>1098</v>
      </c>
      <c r="N201" s="80" t="s">
        <v>1098</v>
      </c>
    </row>
    <row r="202" spans="6:14">
      <c r="F202" s="80" t="s">
        <v>1098</v>
      </c>
      <c r="N202" s="80" t="s">
        <v>1098</v>
      </c>
    </row>
    <row r="203" spans="6:14">
      <c r="F203" s="80" t="s">
        <v>1099</v>
      </c>
      <c r="N203" s="80" t="s">
        <v>1098</v>
      </c>
    </row>
    <row r="204" spans="6:14">
      <c r="F204" s="80" t="s">
        <v>1099</v>
      </c>
      <c r="N204" s="80" t="s">
        <v>1099</v>
      </c>
    </row>
    <row r="205" spans="6:14">
      <c r="F205" s="80" t="s">
        <v>1099</v>
      </c>
      <c r="N205" s="80" t="s">
        <v>1099</v>
      </c>
    </row>
    <row r="206" spans="6:14">
      <c r="F206" s="80" t="s">
        <v>1100</v>
      </c>
      <c r="N206" s="80" t="s">
        <v>1099</v>
      </c>
    </row>
    <row r="207" spans="6:14">
      <c r="F207" s="80" t="s">
        <v>1100</v>
      </c>
      <c r="N207" s="80" t="s">
        <v>1100</v>
      </c>
    </row>
    <row r="208" spans="6:14">
      <c r="F208" s="80" t="s">
        <v>1100</v>
      </c>
      <c r="N208" s="80" t="s">
        <v>1100</v>
      </c>
    </row>
    <row r="209" spans="6:14">
      <c r="F209" s="80" t="s">
        <v>1101</v>
      </c>
      <c r="N209" s="80" t="s">
        <v>1100</v>
      </c>
    </row>
    <row r="210" spans="6:14">
      <c r="F210" s="80" t="s">
        <v>1101</v>
      </c>
      <c r="N210" s="80" t="s">
        <v>1101</v>
      </c>
    </row>
    <row r="211" spans="6:14">
      <c r="F211" s="80" t="s">
        <v>1101</v>
      </c>
      <c r="N211" s="80" t="s">
        <v>1101</v>
      </c>
    </row>
    <row r="212" spans="6:14">
      <c r="F212" s="80" t="s">
        <v>1102</v>
      </c>
      <c r="N212" s="80" t="s">
        <v>1101</v>
      </c>
    </row>
    <row r="213" spans="6:14">
      <c r="F213" s="80" t="s">
        <v>1102</v>
      </c>
      <c r="N213" s="80" t="s">
        <v>1102</v>
      </c>
    </row>
    <row r="214" spans="6:14">
      <c r="F214" s="80" t="s">
        <v>1102</v>
      </c>
      <c r="N214" s="80" t="s">
        <v>1102</v>
      </c>
    </row>
    <row r="215" spans="6:14">
      <c r="F215" s="80" t="s">
        <v>1103</v>
      </c>
      <c r="N215" s="80" t="s">
        <v>1102</v>
      </c>
    </row>
    <row r="216" spans="6:14">
      <c r="F216" s="80" t="s">
        <v>1103</v>
      </c>
      <c r="N216" s="80" t="s">
        <v>1103</v>
      </c>
    </row>
    <row r="217" spans="6:14">
      <c r="F217" s="80" t="s">
        <v>1104</v>
      </c>
      <c r="N217" s="80" t="s">
        <v>1103</v>
      </c>
    </row>
    <row r="218" spans="6:14">
      <c r="F218" s="80" t="s">
        <v>1104</v>
      </c>
      <c r="N218" s="80" t="s">
        <v>1104</v>
      </c>
    </row>
    <row r="219" spans="6:14">
      <c r="F219" s="80" t="s">
        <v>1104</v>
      </c>
      <c r="N219" s="80" t="s">
        <v>1104</v>
      </c>
    </row>
    <row r="220" spans="6:14">
      <c r="F220" s="80" t="s">
        <v>1105</v>
      </c>
      <c r="N220" s="80" t="s">
        <v>1104</v>
      </c>
    </row>
    <row r="221" spans="6:14">
      <c r="F221" s="80" t="s">
        <v>1105</v>
      </c>
      <c r="N221" s="80" t="s">
        <v>1105</v>
      </c>
    </row>
    <row r="222" spans="6:14">
      <c r="F222" s="80" t="s">
        <v>1105</v>
      </c>
      <c r="N222" s="80" t="s">
        <v>1105</v>
      </c>
    </row>
    <row r="223" spans="6:14">
      <c r="F223" s="80" t="s">
        <v>1106</v>
      </c>
      <c r="N223" s="80" t="s">
        <v>1105</v>
      </c>
    </row>
    <row r="224" spans="6:14">
      <c r="F224" s="80" t="s">
        <v>1106</v>
      </c>
      <c r="N224" s="80" t="s">
        <v>1106</v>
      </c>
    </row>
    <row r="225" spans="6:14">
      <c r="F225" s="80" t="s">
        <v>1106</v>
      </c>
      <c r="N225" s="80" t="s">
        <v>1106</v>
      </c>
    </row>
    <row r="226" spans="6:14">
      <c r="F226" s="80" t="s">
        <v>1107</v>
      </c>
      <c r="N226" s="80" t="s">
        <v>1106</v>
      </c>
    </row>
    <row r="227" spans="6:14">
      <c r="F227" s="80" t="s">
        <v>1107</v>
      </c>
      <c r="N227" s="80" t="s">
        <v>1107</v>
      </c>
    </row>
    <row r="228" spans="6:14">
      <c r="F228" s="80" t="s">
        <v>1107</v>
      </c>
      <c r="N228" s="80" t="s">
        <v>1107</v>
      </c>
    </row>
    <row r="229" spans="6:14">
      <c r="F229" s="80" t="s">
        <v>1108</v>
      </c>
      <c r="N229" s="80" t="s">
        <v>1107</v>
      </c>
    </row>
    <row r="230" spans="6:14">
      <c r="F230" s="80" t="s">
        <v>1108</v>
      </c>
      <c r="N230" s="80" t="s">
        <v>1108</v>
      </c>
    </row>
    <row r="231" spans="6:14">
      <c r="F231" s="80" t="s">
        <v>1108</v>
      </c>
      <c r="N231" s="80" t="s">
        <v>1108</v>
      </c>
    </row>
    <row r="232" spans="6:14">
      <c r="F232" s="80" t="s">
        <v>1109</v>
      </c>
      <c r="N232" s="80" t="s">
        <v>1108</v>
      </c>
    </row>
    <row r="233" spans="6:14">
      <c r="F233" s="80" t="s">
        <v>1109</v>
      </c>
      <c r="N233" s="80" t="s">
        <v>1109</v>
      </c>
    </row>
    <row r="234" spans="6:14">
      <c r="F234" s="80" t="s">
        <v>1109</v>
      </c>
      <c r="N234" s="80" t="s">
        <v>1109</v>
      </c>
    </row>
    <row r="235" spans="6:14">
      <c r="F235" s="80" t="s">
        <v>1110</v>
      </c>
      <c r="N235" s="80" t="s">
        <v>1109</v>
      </c>
    </row>
    <row r="236" spans="6:14">
      <c r="F236" s="80" t="s">
        <v>1110</v>
      </c>
      <c r="N236" s="80" t="s">
        <v>1110</v>
      </c>
    </row>
    <row r="237" spans="6:14">
      <c r="F237" s="80" t="s">
        <v>1110</v>
      </c>
      <c r="N237" s="80" t="s">
        <v>1110</v>
      </c>
    </row>
    <row r="238" spans="6:14">
      <c r="F238" s="80" t="s">
        <v>1111</v>
      </c>
      <c r="N238" s="80" t="s">
        <v>1110</v>
      </c>
    </row>
    <row r="239" spans="6:14">
      <c r="F239" s="80" t="s">
        <v>1111</v>
      </c>
      <c r="N239" s="80" t="s">
        <v>1111</v>
      </c>
    </row>
    <row r="240" spans="6:14">
      <c r="F240" s="80" t="s">
        <v>1112</v>
      </c>
      <c r="N240" s="80" t="s">
        <v>1111</v>
      </c>
    </row>
    <row r="241" spans="6:14">
      <c r="F241" s="80" t="s">
        <v>1112</v>
      </c>
      <c r="N241" s="80" t="s">
        <v>1112</v>
      </c>
    </row>
    <row r="242" spans="6:14">
      <c r="F242" s="80" t="s">
        <v>1112</v>
      </c>
      <c r="N242" s="80" t="s">
        <v>1112</v>
      </c>
    </row>
    <row r="243" spans="6:14">
      <c r="F243" s="80" t="s">
        <v>1113</v>
      </c>
      <c r="N243" s="80" t="s">
        <v>1112</v>
      </c>
    </row>
    <row r="244" spans="6:14">
      <c r="F244" s="80" t="s">
        <v>1113</v>
      </c>
      <c r="N244" s="80" t="s">
        <v>1113</v>
      </c>
    </row>
    <row r="245" spans="6:14">
      <c r="F245" s="80" t="s">
        <v>1113</v>
      </c>
      <c r="N245" s="80" t="s">
        <v>1113</v>
      </c>
    </row>
    <row r="246" spans="6:14">
      <c r="F246" s="80" t="s">
        <v>1114</v>
      </c>
      <c r="N246" s="80" t="s">
        <v>1113</v>
      </c>
    </row>
    <row r="247" spans="6:14">
      <c r="F247" s="80" t="s">
        <v>1114</v>
      </c>
      <c r="N247" s="80" t="s">
        <v>1114</v>
      </c>
    </row>
    <row r="248" spans="6:14">
      <c r="F248" s="80" t="s">
        <v>1114</v>
      </c>
      <c r="N248" s="80" t="s">
        <v>1114</v>
      </c>
    </row>
    <row r="249" spans="6:14">
      <c r="F249" s="80" t="s">
        <v>1115</v>
      </c>
      <c r="N249" s="80" t="s">
        <v>1114</v>
      </c>
    </row>
    <row r="250" spans="6:14">
      <c r="F250" s="80" t="s">
        <v>1115</v>
      </c>
      <c r="N250" s="80" t="s">
        <v>1115</v>
      </c>
    </row>
    <row r="251" spans="6:14">
      <c r="F251" s="80" t="s">
        <v>1115</v>
      </c>
      <c r="N251" s="80" t="s">
        <v>1115</v>
      </c>
    </row>
    <row r="252" spans="6:14">
      <c r="N252" s="80" t="s">
        <v>1115</v>
      </c>
    </row>
  </sheetData>
  <pageMargins left="0.7" right="0.7" top="0.75" bottom="0.75" header="0.3" footer="0.3"/>
  <tableParts count="3">
    <tablePart r:id="rId1"/>
    <tablePart r:id="rId2"/>
    <tablePart r:id="rId3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CCAE2A-ACCE-8549-8008-4422083519EA}">
  <dimension ref="A1:E39"/>
  <sheetViews>
    <sheetView tabSelected="1" topLeftCell="A2" workbookViewId="0">
      <selection activeCell="D30" sqref="D30"/>
    </sheetView>
  </sheetViews>
  <sheetFormatPr baseColWidth="10" defaultRowHeight="16"/>
  <cols>
    <col min="1" max="1" width="22.1640625" bestFit="1" customWidth="1"/>
    <col min="2" max="2" width="14.1640625" customWidth="1"/>
    <col min="3" max="3" width="10.33203125" bestFit="1" customWidth="1"/>
  </cols>
  <sheetData>
    <row r="1" spans="1:5" ht="18" thickBot="1">
      <c r="A1" s="100" t="s">
        <v>1168</v>
      </c>
      <c r="B1" s="101" t="s">
        <v>1169</v>
      </c>
      <c r="C1" s="101" t="s">
        <v>1170</v>
      </c>
      <c r="D1" s="101" t="s">
        <v>1171</v>
      </c>
      <c r="E1" s="101"/>
    </row>
    <row r="2" spans="1:5" ht="111" customHeight="1">
      <c r="A2" s="104" t="s">
        <v>1172</v>
      </c>
      <c r="B2" s="104" t="s">
        <v>1173</v>
      </c>
      <c r="C2" s="104"/>
      <c r="D2" s="104"/>
      <c r="E2" s="104"/>
    </row>
    <row r="3" spans="1:5" ht="17" thickBot="1">
      <c r="A3" s="105"/>
      <c r="B3" s="105"/>
      <c r="C3" s="105"/>
      <c r="D3" s="105"/>
      <c r="E3" s="105"/>
    </row>
    <row r="4" spans="1:5" ht="79" customHeight="1">
      <c r="A4" s="104" t="s">
        <v>1174</v>
      </c>
      <c r="B4" s="104" t="s">
        <v>1175</v>
      </c>
      <c r="C4" s="104"/>
      <c r="D4" s="104"/>
      <c r="E4" s="104"/>
    </row>
    <row r="5" spans="1:5" ht="17" thickBot="1">
      <c r="A5" s="105"/>
      <c r="B5" s="105"/>
      <c r="C5" s="105"/>
      <c r="D5" s="105"/>
      <c r="E5" s="105"/>
    </row>
    <row r="6" spans="1:5">
      <c r="A6" s="104" t="s">
        <v>1176</v>
      </c>
      <c r="B6" s="104">
        <v>5</v>
      </c>
      <c r="C6" s="104"/>
      <c r="D6" s="104"/>
      <c r="E6" s="104"/>
    </row>
    <row r="7" spans="1:5" ht="17" thickBot="1">
      <c r="A7" s="105"/>
      <c r="B7" s="105"/>
      <c r="C7" s="105"/>
      <c r="D7" s="105"/>
      <c r="E7" s="105"/>
    </row>
    <row r="8" spans="1:5">
      <c r="A8" s="104" t="s">
        <v>1177</v>
      </c>
      <c r="B8" s="104">
        <v>9</v>
      </c>
      <c r="C8" s="104"/>
      <c r="D8" s="104"/>
      <c r="E8" s="104"/>
    </row>
    <row r="9" spans="1:5" ht="17" thickBot="1">
      <c r="A9" s="105"/>
      <c r="B9" s="105"/>
      <c r="C9" s="105"/>
      <c r="D9" s="105"/>
      <c r="E9" s="105"/>
    </row>
    <row r="10" spans="1:5">
      <c r="A10" s="104" t="s">
        <v>1178</v>
      </c>
      <c r="B10" s="104" t="s">
        <v>1179</v>
      </c>
      <c r="C10" s="104" t="s">
        <v>1180</v>
      </c>
      <c r="D10" s="104"/>
      <c r="E10" s="104"/>
    </row>
    <row r="11" spans="1:5" ht="17" thickBot="1">
      <c r="A11" s="105"/>
      <c r="B11" s="105"/>
      <c r="C11" s="105"/>
      <c r="D11" s="105"/>
      <c r="E11" s="105"/>
    </row>
    <row r="12" spans="1:5" ht="31" customHeight="1">
      <c r="A12" s="104" t="s">
        <v>1181</v>
      </c>
      <c r="B12" s="104" t="s">
        <v>1154</v>
      </c>
      <c r="C12" s="104"/>
      <c r="D12" s="104"/>
      <c r="E12" s="104"/>
    </row>
    <row r="13" spans="1:5" ht="17" thickBot="1">
      <c r="A13" s="105"/>
      <c r="B13" s="105"/>
      <c r="C13" s="105"/>
      <c r="D13" s="105"/>
      <c r="E13" s="105"/>
    </row>
    <row r="14" spans="1:5" ht="18" thickBot="1">
      <c r="A14" s="102" t="s">
        <v>1183</v>
      </c>
      <c r="B14" s="103" t="s">
        <v>117</v>
      </c>
      <c r="C14" s="103" t="s">
        <v>117</v>
      </c>
      <c r="D14" s="103" t="s">
        <v>782</v>
      </c>
      <c r="E14" s="103"/>
    </row>
    <row r="17" spans="1:3">
      <c r="A17" t="s">
        <v>1182</v>
      </c>
    </row>
    <row r="22" spans="1:3">
      <c r="A22" t="s">
        <v>1184</v>
      </c>
      <c r="B22" t="s">
        <v>1185</v>
      </c>
    </row>
    <row r="23" spans="1:3">
      <c r="A23" t="s">
        <v>1186</v>
      </c>
      <c r="B23" t="s">
        <v>1187</v>
      </c>
    </row>
    <row r="24" spans="1:3">
      <c r="A24" t="s">
        <v>1188</v>
      </c>
      <c r="B24" t="s">
        <v>1189</v>
      </c>
    </row>
    <row r="25" spans="1:3">
      <c r="A25" t="s">
        <v>1190</v>
      </c>
      <c r="B25" t="s">
        <v>1191</v>
      </c>
    </row>
    <row r="26" spans="1:3">
      <c r="A26" t="s">
        <v>1192</v>
      </c>
      <c r="B26" t="s">
        <v>1213</v>
      </c>
    </row>
    <row r="27" spans="1:3">
      <c r="A27" t="s">
        <v>1193</v>
      </c>
      <c r="B27" t="s">
        <v>1213</v>
      </c>
    </row>
    <row r="28" spans="1:3">
      <c r="A28" t="s">
        <v>1194</v>
      </c>
      <c r="B28" t="s">
        <v>1214</v>
      </c>
    </row>
    <row r="29" spans="1:3">
      <c r="A29" t="s">
        <v>1215</v>
      </c>
    </row>
    <row r="32" spans="1:3">
      <c r="B32" s="45" t="s">
        <v>1195</v>
      </c>
      <c r="C32" s="45" t="s">
        <v>1196</v>
      </c>
    </row>
    <row r="33" spans="1:3">
      <c r="A33" s="45" t="s">
        <v>32</v>
      </c>
      <c r="B33" s="46">
        <v>163</v>
      </c>
      <c r="C33" s="46">
        <v>29</v>
      </c>
    </row>
    <row r="34" spans="1:3">
      <c r="A34" s="45" t="s">
        <v>20</v>
      </c>
      <c r="B34" s="46">
        <v>10780</v>
      </c>
      <c r="C34" s="46">
        <v>2220</v>
      </c>
    </row>
    <row r="35" spans="1:3">
      <c r="A35" s="45" t="s">
        <v>1197</v>
      </c>
      <c r="B35" s="46">
        <f>B34/B33</f>
        <v>66.134969325153378</v>
      </c>
      <c r="C35" s="46">
        <f>C34/C33</f>
        <v>76.551724137931032</v>
      </c>
    </row>
    <row r="36" spans="1:3">
      <c r="A36" s="45" t="s">
        <v>1198</v>
      </c>
      <c r="B36" s="46">
        <v>1156</v>
      </c>
      <c r="C36" s="46">
        <v>320</v>
      </c>
    </row>
    <row r="37" spans="1:3">
      <c r="A37" s="45" t="s">
        <v>1199</v>
      </c>
      <c r="B37" s="46" t="s">
        <v>1200</v>
      </c>
      <c r="C37" s="46">
        <v>960</v>
      </c>
    </row>
    <row r="39" spans="1:3">
      <c r="A39" t="s">
        <v>1201</v>
      </c>
    </row>
  </sheetData>
  <mergeCells count="30">
    <mergeCell ref="C12:C13"/>
    <mergeCell ref="B4:B5"/>
    <mergeCell ref="C4:C5"/>
    <mergeCell ref="B6:B7"/>
    <mergeCell ref="C6:C7"/>
    <mergeCell ref="B8:B9"/>
    <mergeCell ref="C8:C9"/>
    <mergeCell ref="A10:A11"/>
    <mergeCell ref="B10:B11"/>
    <mergeCell ref="C10:C11"/>
    <mergeCell ref="D10:D11"/>
    <mergeCell ref="E10:E11"/>
    <mergeCell ref="A12:A13"/>
    <mergeCell ref="D12:D13"/>
    <mergeCell ref="E12:E13"/>
    <mergeCell ref="B12:B13"/>
    <mergeCell ref="A6:A7"/>
    <mergeCell ref="D6:D7"/>
    <mergeCell ref="E6:E7"/>
    <mergeCell ref="A8:A9"/>
    <mergeCell ref="D8:D9"/>
    <mergeCell ref="E8:E9"/>
    <mergeCell ref="A2:A3"/>
    <mergeCell ref="D2:D3"/>
    <mergeCell ref="E2:E3"/>
    <mergeCell ref="A4:A5"/>
    <mergeCell ref="D4:D5"/>
    <mergeCell ref="E4:E5"/>
    <mergeCell ref="B2:B3"/>
    <mergeCell ref="C2:C3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T12"/>
  <sheetViews>
    <sheetView workbookViewId="0">
      <selection activeCell="R32" sqref="R32"/>
    </sheetView>
  </sheetViews>
  <sheetFormatPr baseColWidth="10" defaultRowHeight="16"/>
  <cols>
    <col min="4" max="4" width="13" bestFit="1" customWidth="1"/>
    <col min="5" max="5" width="17.83203125" bestFit="1" customWidth="1"/>
  </cols>
  <sheetData>
    <row r="1" spans="1:20">
      <c r="A1" t="s">
        <v>1116</v>
      </c>
      <c r="G1" t="s">
        <v>1117</v>
      </c>
    </row>
    <row r="2" spans="1:20">
      <c r="A2" t="s">
        <v>1118</v>
      </c>
      <c r="B2" t="s">
        <v>1119</v>
      </c>
      <c r="C2" t="s">
        <v>1120</v>
      </c>
      <c r="D2" t="s">
        <v>1121</v>
      </c>
      <c r="E2" t="s">
        <v>1122</v>
      </c>
      <c r="G2" t="s">
        <v>1123</v>
      </c>
      <c r="H2" t="s">
        <v>1124</v>
      </c>
      <c r="I2" t="s">
        <v>717</v>
      </c>
    </row>
    <row r="3" spans="1:20">
      <c r="Q3" t="s">
        <v>1125</v>
      </c>
    </row>
    <row r="4" spans="1:20">
      <c r="Q4" t="s">
        <v>480</v>
      </c>
      <c r="R4" t="s">
        <v>534</v>
      </c>
      <c r="S4" t="s">
        <v>1126</v>
      </c>
      <c r="T4" t="s">
        <v>1127</v>
      </c>
    </row>
    <row r="6" spans="1:20">
      <c r="Q6" t="s">
        <v>1135</v>
      </c>
      <c r="R6" t="s">
        <v>1136</v>
      </c>
      <c r="S6" t="s">
        <v>1139</v>
      </c>
      <c r="T6" t="s">
        <v>1140</v>
      </c>
    </row>
    <row r="8" spans="1:20">
      <c r="J8" t="s">
        <v>1128</v>
      </c>
    </row>
    <row r="9" spans="1:20">
      <c r="J9" t="s">
        <v>1129</v>
      </c>
    </row>
    <row r="10" spans="1:20">
      <c r="J10" t="s">
        <v>1130</v>
      </c>
      <c r="Q10" t="s">
        <v>1118</v>
      </c>
      <c r="R10" t="s">
        <v>1141</v>
      </c>
    </row>
    <row r="11" spans="1:20">
      <c r="J11" t="s">
        <v>1131</v>
      </c>
    </row>
    <row r="12" spans="1:20">
      <c r="Q12" t="s">
        <v>1137</v>
      </c>
      <c r="R12" t="s">
        <v>1138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FF18E-4BAC-AD40-B48C-204CE888EBE1}">
  <dimension ref="A1:H53"/>
  <sheetViews>
    <sheetView workbookViewId="0">
      <selection activeCell="G7" sqref="G7"/>
    </sheetView>
  </sheetViews>
  <sheetFormatPr baseColWidth="10" defaultRowHeight="16"/>
  <sheetData>
    <row r="1" spans="1:8">
      <c r="A1" t="s">
        <v>481</v>
      </c>
      <c r="B1" t="s">
        <v>1124</v>
      </c>
      <c r="C1" t="s">
        <v>1156</v>
      </c>
    </row>
    <row r="2" spans="1:8">
      <c r="A2">
        <v>1</v>
      </c>
      <c r="B2" t="s">
        <v>1157</v>
      </c>
      <c r="C2" s="83">
        <v>0.34375</v>
      </c>
      <c r="D2" t="s">
        <v>1163</v>
      </c>
      <c r="H2" s="84"/>
    </row>
    <row r="3" spans="1:8">
      <c r="A3">
        <v>2</v>
      </c>
      <c r="B3" t="s">
        <v>1157</v>
      </c>
      <c r="C3" s="83">
        <v>0.38541666666666669</v>
      </c>
      <c r="D3" t="s">
        <v>1163</v>
      </c>
    </row>
    <row r="4" spans="1:8">
      <c r="A4">
        <v>3</v>
      </c>
      <c r="B4" t="s">
        <v>1157</v>
      </c>
      <c r="C4" s="83">
        <v>0.42708333333333331</v>
      </c>
      <c r="D4" t="s">
        <v>1163</v>
      </c>
    </row>
    <row r="5" spans="1:8">
      <c r="A5">
        <v>4</v>
      </c>
      <c r="B5" t="s">
        <v>1157</v>
      </c>
      <c r="C5" s="83">
        <v>0.46875</v>
      </c>
      <c r="D5" t="s">
        <v>1163</v>
      </c>
    </row>
    <row r="6" spans="1:8">
      <c r="A6">
        <v>5</v>
      </c>
      <c r="B6" t="s">
        <v>1157</v>
      </c>
      <c r="C6" s="83">
        <v>0.51041666666666663</v>
      </c>
      <c r="D6" t="s">
        <v>1163</v>
      </c>
    </row>
    <row r="7" spans="1:8">
      <c r="A7">
        <v>6</v>
      </c>
      <c r="B7" t="s">
        <v>1157</v>
      </c>
      <c r="C7" s="83">
        <v>0.55208333333333337</v>
      </c>
      <c r="D7" t="s">
        <v>1163</v>
      </c>
    </row>
    <row r="8" spans="1:8">
      <c r="A8">
        <v>7</v>
      </c>
      <c r="B8" t="s">
        <v>1157</v>
      </c>
      <c r="C8" s="83">
        <v>0.59375</v>
      </c>
      <c r="D8" t="s">
        <v>1163</v>
      </c>
    </row>
    <row r="9" spans="1:8">
      <c r="A9">
        <v>8</v>
      </c>
      <c r="B9" t="s">
        <v>1157</v>
      </c>
      <c r="C9" s="83">
        <v>0.63541666666666663</v>
      </c>
      <c r="D9" t="s">
        <v>1163</v>
      </c>
    </row>
    <row r="10" spans="1:8">
      <c r="A10">
        <v>9</v>
      </c>
      <c r="B10" t="s">
        <v>1157</v>
      </c>
      <c r="C10" s="83">
        <v>0.67708333333333337</v>
      </c>
      <c r="D10" t="s">
        <v>1163</v>
      </c>
    </row>
    <row r="11" spans="1:8">
      <c r="A11">
        <v>10</v>
      </c>
      <c r="B11" t="s">
        <v>1157</v>
      </c>
      <c r="C11" s="83">
        <v>0.71875</v>
      </c>
      <c r="D11" t="s">
        <v>1163</v>
      </c>
    </row>
    <row r="12" spans="1:8">
      <c r="A12">
        <v>11</v>
      </c>
      <c r="B12" t="s">
        <v>1158</v>
      </c>
      <c r="C12" s="83">
        <v>0.34375</v>
      </c>
      <c r="D12" t="s">
        <v>1164</v>
      </c>
    </row>
    <row r="13" spans="1:8">
      <c r="A13">
        <v>12</v>
      </c>
      <c r="B13" t="s">
        <v>1158</v>
      </c>
      <c r="C13" s="83">
        <v>0.38541666666666669</v>
      </c>
      <c r="D13" t="s">
        <v>1164</v>
      </c>
    </row>
    <row r="14" spans="1:8">
      <c r="A14">
        <v>13</v>
      </c>
      <c r="B14" t="s">
        <v>1158</v>
      </c>
      <c r="C14" s="83">
        <v>0.42708333333333331</v>
      </c>
      <c r="D14" t="s">
        <v>1164</v>
      </c>
    </row>
    <row r="15" spans="1:8">
      <c r="A15">
        <v>14</v>
      </c>
      <c r="B15" t="s">
        <v>1158</v>
      </c>
      <c r="C15" s="83">
        <v>0.46875</v>
      </c>
      <c r="D15" t="s">
        <v>1164</v>
      </c>
    </row>
    <row r="16" spans="1:8">
      <c r="A16">
        <v>15</v>
      </c>
      <c r="B16" t="s">
        <v>1158</v>
      </c>
      <c r="C16" s="83">
        <v>0.51041666666666663</v>
      </c>
      <c r="D16" t="s">
        <v>1164</v>
      </c>
    </row>
    <row r="17" spans="1:4">
      <c r="A17">
        <v>16</v>
      </c>
      <c r="B17" t="s">
        <v>1158</v>
      </c>
      <c r="C17" s="83">
        <v>0.55208333333333337</v>
      </c>
      <c r="D17" t="s">
        <v>1164</v>
      </c>
    </row>
    <row r="18" spans="1:4">
      <c r="A18">
        <v>17</v>
      </c>
      <c r="B18" t="s">
        <v>1158</v>
      </c>
      <c r="C18" s="83">
        <v>0.59375</v>
      </c>
      <c r="D18" t="s">
        <v>1164</v>
      </c>
    </row>
    <row r="19" spans="1:4">
      <c r="A19">
        <v>18</v>
      </c>
      <c r="B19" t="s">
        <v>1158</v>
      </c>
      <c r="C19" s="83">
        <v>0.63541666666666663</v>
      </c>
      <c r="D19" t="s">
        <v>1164</v>
      </c>
    </row>
    <row r="20" spans="1:4">
      <c r="A20">
        <v>19</v>
      </c>
      <c r="B20" t="s">
        <v>1158</v>
      </c>
      <c r="C20" s="83">
        <v>0.67708333333333337</v>
      </c>
      <c r="D20" t="s">
        <v>1164</v>
      </c>
    </row>
    <row r="21" spans="1:4">
      <c r="A21">
        <v>20</v>
      </c>
      <c r="B21" t="s">
        <v>1158</v>
      </c>
      <c r="C21" s="83">
        <v>0.71875</v>
      </c>
      <c r="D21" t="s">
        <v>1164</v>
      </c>
    </row>
    <row r="22" spans="1:4">
      <c r="A22">
        <v>21</v>
      </c>
      <c r="B22" t="s">
        <v>1159</v>
      </c>
      <c r="C22" s="83">
        <v>0.34375</v>
      </c>
      <c r="D22" t="s">
        <v>1165</v>
      </c>
    </row>
    <row r="23" spans="1:4">
      <c r="A23">
        <v>22</v>
      </c>
      <c r="B23" t="s">
        <v>1159</v>
      </c>
      <c r="C23" s="83">
        <v>0.38541666666666669</v>
      </c>
      <c r="D23" t="s">
        <v>1165</v>
      </c>
    </row>
    <row r="24" spans="1:4">
      <c r="A24">
        <v>23</v>
      </c>
      <c r="B24" t="s">
        <v>1159</v>
      </c>
      <c r="C24" s="83">
        <v>0.42708333333333331</v>
      </c>
      <c r="D24" t="s">
        <v>1165</v>
      </c>
    </row>
    <row r="25" spans="1:4">
      <c r="A25">
        <v>24</v>
      </c>
      <c r="B25" t="s">
        <v>1159</v>
      </c>
      <c r="C25" s="83">
        <v>0.46875</v>
      </c>
      <c r="D25" t="s">
        <v>1165</v>
      </c>
    </row>
    <row r="26" spans="1:4">
      <c r="A26">
        <v>25</v>
      </c>
      <c r="B26" t="s">
        <v>1159</v>
      </c>
      <c r="C26" s="83">
        <v>0.51041666666666663</v>
      </c>
      <c r="D26" t="s">
        <v>1165</v>
      </c>
    </row>
    <row r="27" spans="1:4">
      <c r="A27">
        <v>26</v>
      </c>
      <c r="B27" t="s">
        <v>1159</v>
      </c>
      <c r="C27" s="83">
        <v>0.55208333333333337</v>
      </c>
      <c r="D27" t="s">
        <v>1165</v>
      </c>
    </row>
    <row r="28" spans="1:4">
      <c r="A28">
        <v>27</v>
      </c>
      <c r="C28" s="83">
        <v>0.34375</v>
      </c>
      <c r="D28" t="s">
        <v>1166</v>
      </c>
    </row>
    <row r="29" spans="1:4">
      <c r="A29">
        <v>28</v>
      </c>
      <c r="C29" s="83">
        <v>0.38541666666666669</v>
      </c>
      <c r="D29" t="s">
        <v>1166</v>
      </c>
    </row>
    <row r="30" spans="1:4">
      <c r="A30">
        <v>29</v>
      </c>
      <c r="C30" s="83">
        <v>0.42708333333333331</v>
      </c>
      <c r="D30" t="s">
        <v>1166</v>
      </c>
    </row>
    <row r="31" spans="1:4">
      <c r="A31">
        <v>30</v>
      </c>
      <c r="C31" s="83">
        <v>0.46875</v>
      </c>
      <c r="D31" t="s">
        <v>1166</v>
      </c>
    </row>
    <row r="32" spans="1:4">
      <c r="A32">
        <v>31</v>
      </c>
      <c r="C32" s="83">
        <v>0.51041666666666663</v>
      </c>
      <c r="D32" t="s">
        <v>1166</v>
      </c>
    </row>
    <row r="33" spans="1:4">
      <c r="A33">
        <v>32</v>
      </c>
      <c r="C33" s="83">
        <v>0.55208333333333337</v>
      </c>
      <c r="D33" t="s">
        <v>1166</v>
      </c>
    </row>
    <row r="34" spans="1:4">
      <c r="A34">
        <v>33</v>
      </c>
      <c r="C34" s="83">
        <v>0.59375</v>
      </c>
      <c r="D34" t="s">
        <v>1166</v>
      </c>
    </row>
    <row r="35" spans="1:4">
      <c r="A35">
        <v>34</v>
      </c>
      <c r="C35" s="83">
        <v>0.63541666666666663</v>
      </c>
      <c r="D35" t="s">
        <v>1166</v>
      </c>
    </row>
    <row r="36" spans="1:4">
      <c r="A36">
        <v>35</v>
      </c>
      <c r="C36" s="83">
        <v>0.67708333333333337</v>
      </c>
      <c r="D36" t="s">
        <v>1166</v>
      </c>
    </row>
    <row r="37" spans="1:4">
      <c r="A37">
        <v>36</v>
      </c>
      <c r="C37" s="83">
        <v>0.71875</v>
      </c>
      <c r="D37" t="s">
        <v>1166</v>
      </c>
    </row>
    <row r="38" spans="1:4">
      <c r="A38">
        <v>37</v>
      </c>
      <c r="C38" s="83">
        <v>0.34375</v>
      </c>
      <c r="D38" t="s">
        <v>1167</v>
      </c>
    </row>
    <row r="39" spans="1:4">
      <c r="A39">
        <v>38</v>
      </c>
      <c r="B39" t="s">
        <v>1160</v>
      </c>
      <c r="C39" s="83">
        <v>0.38541666666666669</v>
      </c>
      <c r="D39" t="s">
        <v>1167</v>
      </c>
    </row>
    <row r="40" spans="1:4">
      <c r="A40">
        <v>39</v>
      </c>
      <c r="C40" s="83">
        <v>0.42708333333333331</v>
      </c>
      <c r="D40" t="s">
        <v>1167</v>
      </c>
    </row>
    <row r="41" spans="1:4">
      <c r="A41">
        <v>40</v>
      </c>
      <c r="C41" s="83">
        <v>0.46875</v>
      </c>
      <c r="D41" t="s">
        <v>1167</v>
      </c>
    </row>
    <row r="42" spans="1:4">
      <c r="A42">
        <v>41</v>
      </c>
      <c r="C42" s="83">
        <v>0.51041666666666663</v>
      </c>
      <c r="D42" t="s">
        <v>1167</v>
      </c>
    </row>
    <row r="43" spans="1:4">
      <c r="A43">
        <v>42</v>
      </c>
      <c r="C43" s="83">
        <v>0.55208333333333337</v>
      </c>
      <c r="D43" t="s">
        <v>1167</v>
      </c>
    </row>
    <row r="44" spans="1:4">
      <c r="A44">
        <v>43</v>
      </c>
      <c r="C44" s="83">
        <v>0.59375</v>
      </c>
      <c r="D44" t="s">
        <v>1167</v>
      </c>
    </row>
    <row r="45" spans="1:4">
      <c r="A45">
        <v>44</v>
      </c>
      <c r="C45" s="83">
        <v>0.63541666666666663</v>
      </c>
      <c r="D45" t="s">
        <v>1167</v>
      </c>
    </row>
    <row r="46" spans="1:4">
      <c r="A46">
        <v>45</v>
      </c>
      <c r="C46" s="83">
        <v>0.67708333333333337</v>
      </c>
      <c r="D46" t="s">
        <v>1167</v>
      </c>
    </row>
    <row r="47" spans="1:4">
      <c r="A47">
        <v>46</v>
      </c>
      <c r="C47" s="83">
        <v>0.71875</v>
      </c>
      <c r="D47" t="s">
        <v>1167</v>
      </c>
    </row>
    <row r="51" spans="1:3">
      <c r="C51" s="1"/>
    </row>
    <row r="53" spans="1:3">
      <c r="A53" t="s">
        <v>1161</v>
      </c>
      <c r="C53" t="s">
        <v>1162</v>
      </c>
    </row>
  </sheetData>
  <phoneticPr fontId="5" type="noConversion"/>
  <pageMargins left="0.7" right="0.7" top="0.75" bottom="0.75" header="0.3" footer="0.3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F114"/>
  <sheetViews>
    <sheetView topLeftCell="N1" zoomScale="114" workbookViewId="0">
      <selection activeCell="V15" sqref="V15:V24"/>
    </sheetView>
  </sheetViews>
  <sheetFormatPr baseColWidth="10" defaultRowHeight="16"/>
  <cols>
    <col min="1" max="1" width="14.83203125" customWidth="1"/>
    <col min="3" max="3" width="11.83203125" customWidth="1"/>
    <col min="6" max="6" width="13.6640625" customWidth="1"/>
    <col min="9" max="9" width="16.33203125" bestFit="1" customWidth="1"/>
  </cols>
  <sheetData>
    <row r="1" spans="1:32">
      <c r="B1" t="s">
        <v>18</v>
      </c>
      <c r="V1" t="s">
        <v>19</v>
      </c>
      <c r="W1" t="s">
        <v>20</v>
      </c>
      <c r="X1" t="s">
        <v>21</v>
      </c>
      <c r="Y1" t="s">
        <v>22</v>
      </c>
      <c r="Z1" t="s">
        <v>23</v>
      </c>
      <c r="AA1" t="s">
        <v>24</v>
      </c>
      <c r="AB1" t="s">
        <v>25</v>
      </c>
      <c r="AC1" t="s">
        <v>26</v>
      </c>
      <c r="AD1" t="s">
        <v>27</v>
      </c>
      <c r="AE1" t="s">
        <v>28</v>
      </c>
    </row>
    <row r="2" spans="1:32">
      <c r="A2" t="s">
        <v>26</v>
      </c>
      <c r="B2">
        <v>350</v>
      </c>
      <c r="C2">
        <v>150</v>
      </c>
      <c r="D2">
        <v>100</v>
      </c>
      <c r="E2">
        <v>80</v>
      </c>
      <c r="F2">
        <v>78</v>
      </c>
      <c r="G2">
        <v>74</v>
      </c>
      <c r="H2">
        <v>72</v>
      </c>
      <c r="I2">
        <v>48</v>
      </c>
      <c r="J2">
        <v>36</v>
      </c>
      <c r="K2">
        <v>34</v>
      </c>
      <c r="L2">
        <v>30</v>
      </c>
      <c r="M2">
        <v>24</v>
      </c>
      <c r="V2" t="s">
        <v>29</v>
      </c>
      <c r="W2">
        <v>150</v>
      </c>
      <c r="X2">
        <v>148.16999999999999</v>
      </c>
      <c r="Y2">
        <v>4.375</v>
      </c>
      <c r="Z2">
        <v>106.509462607789</v>
      </c>
      <c r="AA2">
        <v>0</v>
      </c>
      <c r="AB2">
        <v>0</v>
      </c>
      <c r="AC2">
        <v>148.16999999999999</v>
      </c>
      <c r="AD2">
        <v>0</v>
      </c>
      <c r="AE2">
        <v>254.67946260778899</v>
      </c>
    </row>
    <row r="3" spans="1:32">
      <c r="A3">
        <v>1</v>
      </c>
      <c r="B3">
        <v>2</v>
      </c>
      <c r="C3">
        <v>1</v>
      </c>
      <c r="V3" t="s">
        <v>29</v>
      </c>
      <c r="W3">
        <v>350</v>
      </c>
      <c r="X3">
        <v>331.81</v>
      </c>
      <c r="Y3">
        <v>8.75</v>
      </c>
      <c r="Z3">
        <v>162.5</v>
      </c>
      <c r="AA3">
        <v>3.96</v>
      </c>
      <c r="AB3">
        <v>0</v>
      </c>
      <c r="AC3">
        <v>331.81</v>
      </c>
      <c r="AD3">
        <v>0</v>
      </c>
      <c r="AE3">
        <v>498.27</v>
      </c>
      <c r="AF3">
        <f>20/7</f>
        <v>2.8571428571428572</v>
      </c>
    </row>
    <row r="4" spans="1:32">
      <c r="A4">
        <v>2</v>
      </c>
      <c r="C4">
        <v>1</v>
      </c>
      <c r="V4" t="s">
        <v>29</v>
      </c>
      <c r="W4">
        <v>350</v>
      </c>
      <c r="X4">
        <v>330.53</v>
      </c>
      <c r="Y4">
        <v>8.75</v>
      </c>
      <c r="Z4">
        <v>160</v>
      </c>
      <c r="AA4">
        <v>3.96</v>
      </c>
      <c r="AB4">
        <v>0</v>
      </c>
      <c r="AC4">
        <v>330.53</v>
      </c>
      <c r="AD4">
        <v>0</v>
      </c>
      <c r="AE4">
        <v>494.49</v>
      </c>
    </row>
    <row r="5" spans="1:32">
      <c r="A5">
        <v>3</v>
      </c>
      <c r="E5">
        <v>2</v>
      </c>
      <c r="F5">
        <v>1</v>
      </c>
      <c r="J5">
        <v>2</v>
      </c>
      <c r="M5">
        <v>4</v>
      </c>
      <c r="V5" t="s">
        <v>30</v>
      </c>
      <c r="W5">
        <v>150</v>
      </c>
      <c r="X5">
        <v>148.16999999999999</v>
      </c>
      <c r="Y5">
        <v>4.375</v>
      </c>
      <c r="Z5">
        <v>106.509462607789</v>
      </c>
      <c r="AA5">
        <v>0</v>
      </c>
      <c r="AB5">
        <v>0</v>
      </c>
      <c r="AC5">
        <v>0</v>
      </c>
      <c r="AD5">
        <v>0</v>
      </c>
      <c r="AE5">
        <v>106.509462607789</v>
      </c>
    </row>
    <row r="6" spans="1:32">
      <c r="A6">
        <v>4</v>
      </c>
      <c r="D6">
        <v>1</v>
      </c>
      <c r="F6">
        <v>1</v>
      </c>
      <c r="H6">
        <v>1</v>
      </c>
      <c r="I6">
        <v>1</v>
      </c>
      <c r="J6">
        <v>2</v>
      </c>
      <c r="L6">
        <v>3</v>
      </c>
      <c r="V6" t="s">
        <v>31</v>
      </c>
      <c r="W6">
        <v>40</v>
      </c>
      <c r="X6">
        <v>84.34</v>
      </c>
      <c r="Y6">
        <v>4.375</v>
      </c>
      <c r="Z6">
        <v>12.5</v>
      </c>
      <c r="AA6">
        <v>0</v>
      </c>
      <c r="AB6">
        <v>3.75</v>
      </c>
      <c r="AC6">
        <v>0</v>
      </c>
      <c r="AD6">
        <v>0</v>
      </c>
      <c r="AE6">
        <v>16.25</v>
      </c>
    </row>
    <row r="7" spans="1:32">
      <c r="A7">
        <v>5</v>
      </c>
      <c r="D7">
        <v>1</v>
      </c>
      <c r="G7">
        <v>1</v>
      </c>
      <c r="I7">
        <v>1</v>
      </c>
      <c r="J7">
        <v>2</v>
      </c>
      <c r="K7">
        <v>1</v>
      </c>
      <c r="L7">
        <v>1</v>
      </c>
      <c r="N7" t="s">
        <v>32</v>
      </c>
      <c r="V7" t="s">
        <v>31</v>
      </c>
      <c r="W7">
        <v>40</v>
      </c>
      <c r="X7">
        <v>83.28</v>
      </c>
      <c r="Y7">
        <v>4.375</v>
      </c>
      <c r="Z7">
        <v>75</v>
      </c>
      <c r="AA7">
        <v>0</v>
      </c>
      <c r="AB7">
        <v>15</v>
      </c>
      <c r="AC7">
        <v>0</v>
      </c>
      <c r="AD7">
        <v>0</v>
      </c>
      <c r="AE7">
        <v>90</v>
      </c>
    </row>
    <row r="8" spans="1:32">
      <c r="A8" t="s">
        <v>28</v>
      </c>
      <c r="B8">
        <f t="shared" ref="B8:M8" si="0">SUM(B3:B7)</f>
        <v>2</v>
      </c>
      <c r="C8">
        <f t="shared" si="0"/>
        <v>2</v>
      </c>
      <c r="D8">
        <f t="shared" si="0"/>
        <v>2</v>
      </c>
      <c r="E8">
        <f t="shared" si="0"/>
        <v>2</v>
      </c>
      <c r="F8">
        <f t="shared" si="0"/>
        <v>2</v>
      </c>
      <c r="G8">
        <f t="shared" si="0"/>
        <v>1</v>
      </c>
      <c r="H8">
        <f t="shared" si="0"/>
        <v>1</v>
      </c>
      <c r="I8">
        <f t="shared" si="0"/>
        <v>2</v>
      </c>
      <c r="J8">
        <f t="shared" si="0"/>
        <v>6</v>
      </c>
      <c r="K8">
        <f t="shared" si="0"/>
        <v>1</v>
      </c>
      <c r="L8">
        <f t="shared" si="0"/>
        <v>4</v>
      </c>
      <c r="M8">
        <f t="shared" si="0"/>
        <v>4</v>
      </c>
      <c r="N8">
        <f>SUM(B8:M8)</f>
        <v>29</v>
      </c>
      <c r="V8" t="s">
        <v>31</v>
      </c>
      <c r="W8">
        <v>30</v>
      </c>
      <c r="X8">
        <v>55.17</v>
      </c>
      <c r="Y8">
        <v>4.375</v>
      </c>
      <c r="Z8">
        <v>25</v>
      </c>
      <c r="AA8">
        <v>0</v>
      </c>
      <c r="AB8">
        <v>12.5</v>
      </c>
      <c r="AC8">
        <v>0</v>
      </c>
      <c r="AD8">
        <v>0</v>
      </c>
      <c r="AE8">
        <v>37.5</v>
      </c>
    </row>
    <row r="9" spans="1:32">
      <c r="V9" t="s">
        <v>31</v>
      </c>
      <c r="W9">
        <v>30</v>
      </c>
      <c r="X9">
        <v>54.72</v>
      </c>
      <c r="Y9">
        <v>4.375</v>
      </c>
      <c r="Z9">
        <v>25</v>
      </c>
      <c r="AA9">
        <v>0</v>
      </c>
      <c r="AB9">
        <v>12.5</v>
      </c>
      <c r="AC9">
        <v>0</v>
      </c>
      <c r="AD9">
        <v>0</v>
      </c>
      <c r="AE9">
        <v>37.5</v>
      </c>
    </row>
    <row r="10" spans="1:32">
      <c r="A10" t="s">
        <v>20</v>
      </c>
      <c r="B10">
        <f t="shared" ref="B10:M10" si="1">B8*B2</f>
        <v>700</v>
      </c>
      <c r="C10">
        <f t="shared" si="1"/>
        <v>300</v>
      </c>
      <c r="D10">
        <f t="shared" si="1"/>
        <v>200</v>
      </c>
      <c r="E10">
        <f t="shared" si="1"/>
        <v>160</v>
      </c>
      <c r="F10">
        <f t="shared" si="1"/>
        <v>156</v>
      </c>
      <c r="G10">
        <f t="shared" si="1"/>
        <v>74</v>
      </c>
      <c r="H10">
        <f t="shared" si="1"/>
        <v>72</v>
      </c>
      <c r="I10">
        <f t="shared" si="1"/>
        <v>96</v>
      </c>
      <c r="J10">
        <f t="shared" si="1"/>
        <v>216</v>
      </c>
      <c r="K10">
        <f t="shared" si="1"/>
        <v>34</v>
      </c>
      <c r="L10">
        <f t="shared" si="1"/>
        <v>120</v>
      </c>
      <c r="M10">
        <f t="shared" si="1"/>
        <v>96</v>
      </c>
      <c r="V10" t="s">
        <v>31</v>
      </c>
      <c r="W10">
        <v>30</v>
      </c>
      <c r="X10">
        <v>54.27</v>
      </c>
      <c r="Y10">
        <v>4.375</v>
      </c>
      <c r="Z10">
        <v>25</v>
      </c>
      <c r="AA10">
        <v>0</v>
      </c>
      <c r="AB10">
        <v>12.5</v>
      </c>
      <c r="AC10">
        <v>0</v>
      </c>
      <c r="AD10">
        <v>0</v>
      </c>
      <c r="AE10">
        <v>37.5</v>
      </c>
    </row>
    <row r="11" spans="1:32">
      <c r="A11" t="s">
        <v>33</v>
      </c>
      <c r="B11">
        <f>SUM(B10:M10)</f>
        <v>2224</v>
      </c>
      <c r="V11" t="s">
        <v>31</v>
      </c>
      <c r="W11">
        <v>30</v>
      </c>
      <c r="X11">
        <v>53.41</v>
      </c>
      <c r="Y11">
        <v>4.375</v>
      </c>
      <c r="Z11">
        <v>25</v>
      </c>
      <c r="AA11">
        <v>0</v>
      </c>
      <c r="AB11">
        <v>12.5</v>
      </c>
      <c r="AC11">
        <v>0</v>
      </c>
      <c r="AD11">
        <v>0</v>
      </c>
      <c r="AE11">
        <v>37.5</v>
      </c>
    </row>
    <row r="12" spans="1:32">
      <c r="O12" t="s">
        <v>34</v>
      </c>
      <c r="P12" t="s">
        <v>35</v>
      </c>
      <c r="V12" t="s">
        <v>31</v>
      </c>
      <c r="W12">
        <v>80</v>
      </c>
      <c r="X12">
        <v>133.63999999999999</v>
      </c>
      <c r="Y12">
        <v>4.375</v>
      </c>
      <c r="Z12">
        <v>98.75</v>
      </c>
      <c r="AA12">
        <v>0</v>
      </c>
      <c r="AB12">
        <v>21.25</v>
      </c>
      <c r="AC12">
        <v>0</v>
      </c>
      <c r="AD12">
        <v>0</v>
      </c>
      <c r="AE12">
        <v>120</v>
      </c>
    </row>
    <row r="13" spans="1:32">
      <c r="M13" t="s">
        <v>36</v>
      </c>
      <c r="N13">
        <v>25842043</v>
      </c>
      <c r="O13">
        <v>45.21</v>
      </c>
      <c r="P13">
        <f>N13/O13</f>
        <v>571600.15483300155</v>
      </c>
      <c r="V13" t="s">
        <v>31</v>
      </c>
      <c r="W13">
        <v>80</v>
      </c>
      <c r="X13">
        <v>124.62</v>
      </c>
      <c r="Y13">
        <v>4.375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</row>
    <row r="14" spans="1:32">
      <c r="M14" t="s">
        <v>37</v>
      </c>
      <c r="N14">
        <v>100</v>
      </c>
      <c r="V14" t="s">
        <v>31</v>
      </c>
      <c r="W14">
        <v>80</v>
      </c>
      <c r="X14">
        <v>124.62</v>
      </c>
      <c r="Y14">
        <v>4.375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</row>
    <row r="15" spans="1:32">
      <c r="M15" t="s">
        <v>21</v>
      </c>
      <c r="N15">
        <f>N13/N14</f>
        <v>258420.43</v>
      </c>
      <c r="O15" t="s">
        <v>38</v>
      </c>
      <c r="V15" t="s">
        <v>39</v>
      </c>
      <c r="W15">
        <v>30</v>
      </c>
      <c r="X15">
        <v>81.459999999999994</v>
      </c>
      <c r="Y15">
        <v>4.375</v>
      </c>
      <c r="Z15">
        <v>12.5</v>
      </c>
      <c r="AA15">
        <v>0</v>
      </c>
      <c r="AB15">
        <v>26.25</v>
      </c>
      <c r="AC15">
        <v>0</v>
      </c>
      <c r="AD15">
        <v>0</v>
      </c>
      <c r="AE15">
        <v>38.75</v>
      </c>
    </row>
    <row r="16" spans="1:32">
      <c r="M16" t="s">
        <v>40</v>
      </c>
      <c r="N16">
        <v>180713.60000000001</v>
      </c>
      <c r="V16" t="s">
        <v>39</v>
      </c>
      <c r="W16">
        <v>30</v>
      </c>
      <c r="X16">
        <v>76.64</v>
      </c>
      <c r="Y16">
        <v>4.375</v>
      </c>
      <c r="Z16">
        <v>12.5</v>
      </c>
      <c r="AA16">
        <v>0</v>
      </c>
      <c r="AB16">
        <v>26.25</v>
      </c>
      <c r="AC16">
        <v>0</v>
      </c>
      <c r="AD16">
        <v>0</v>
      </c>
      <c r="AE16">
        <v>38.75</v>
      </c>
    </row>
    <row r="17" spans="13:31">
      <c r="M17" t="s">
        <v>41</v>
      </c>
      <c r="N17">
        <f>N15-N16</f>
        <v>77706.829999999987</v>
      </c>
      <c r="V17" t="s">
        <v>39</v>
      </c>
      <c r="W17">
        <v>30</v>
      </c>
      <c r="X17">
        <v>75.34</v>
      </c>
      <c r="Y17">
        <v>4.375</v>
      </c>
      <c r="Z17">
        <v>12.5</v>
      </c>
      <c r="AA17">
        <v>0</v>
      </c>
      <c r="AB17">
        <v>26.25</v>
      </c>
      <c r="AC17">
        <v>0</v>
      </c>
      <c r="AD17">
        <v>0</v>
      </c>
      <c r="AE17">
        <v>38.75</v>
      </c>
    </row>
    <row r="18" spans="13:31">
      <c r="M18" t="s">
        <v>42</v>
      </c>
      <c r="N18">
        <f>N17/9</f>
        <v>8634.0922222222216</v>
      </c>
      <c r="O18">
        <v>3.05</v>
      </c>
      <c r="P18">
        <f>P13*O18</f>
        <v>1743380.4722406545</v>
      </c>
      <c r="V18" t="s">
        <v>39</v>
      </c>
      <c r="W18">
        <v>30</v>
      </c>
      <c r="X18">
        <v>74.040000000000006</v>
      </c>
      <c r="Y18">
        <v>4.375</v>
      </c>
      <c r="Z18">
        <v>12.5</v>
      </c>
      <c r="AA18">
        <v>0</v>
      </c>
      <c r="AB18">
        <v>26.25</v>
      </c>
      <c r="AC18">
        <v>0</v>
      </c>
      <c r="AD18">
        <v>0</v>
      </c>
      <c r="AE18">
        <v>38.75</v>
      </c>
    </row>
    <row r="19" spans="13:31">
      <c r="V19" t="s">
        <v>39</v>
      </c>
      <c r="W19">
        <v>40</v>
      </c>
      <c r="X19">
        <v>66.349999999999994</v>
      </c>
      <c r="Y19">
        <v>4.375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</row>
    <row r="20" spans="13:31">
      <c r="V20" t="s">
        <v>39</v>
      </c>
      <c r="W20">
        <v>40</v>
      </c>
      <c r="X20">
        <v>63.45</v>
      </c>
      <c r="Y20">
        <v>4.375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</row>
    <row r="21" spans="13:31">
      <c r="V21" t="s">
        <v>39</v>
      </c>
      <c r="W21">
        <v>40</v>
      </c>
      <c r="X21">
        <v>63.37</v>
      </c>
      <c r="Y21">
        <v>4.375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0</v>
      </c>
    </row>
    <row r="22" spans="13:31">
      <c r="V22" t="s">
        <v>39</v>
      </c>
      <c r="W22">
        <v>70</v>
      </c>
      <c r="X22">
        <v>239.56</v>
      </c>
      <c r="Y22">
        <v>4.375</v>
      </c>
      <c r="Z22">
        <v>43.75</v>
      </c>
      <c r="AA22">
        <v>0</v>
      </c>
      <c r="AB22">
        <v>32.5</v>
      </c>
      <c r="AC22">
        <v>0</v>
      </c>
      <c r="AD22">
        <v>0</v>
      </c>
      <c r="AE22">
        <v>76.25</v>
      </c>
    </row>
    <row r="23" spans="13:31">
      <c r="V23" t="s">
        <v>39</v>
      </c>
      <c r="W23">
        <v>40</v>
      </c>
      <c r="X23">
        <v>109.2</v>
      </c>
      <c r="Y23">
        <v>4.375</v>
      </c>
      <c r="Z23">
        <v>63.75</v>
      </c>
      <c r="AA23">
        <v>0</v>
      </c>
      <c r="AB23">
        <v>30</v>
      </c>
      <c r="AC23">
        <v>0</v>
      </c>
      <c r="AD23">
        <v>0</v>
      </c>
      <c r="AE23">
        <v>93.75</v>
      </c>
    </row>
    <row r="24" spans="13:31">
      <c r="V24" t="s">
        <v>39</v>
      </c>
      <c r="W24">
        <v>80</v>
      </c>
      <c r="X24">
        <v>126.37</v>
      </c>
      <c r="Y24">
        <v>4.375</v>
      </c>
      <c r="Z24">
        <v>68.75</v>
      </c>
      <c r="AA24">
        <v>0</v>
      </c>
      <c r="AB24">
        <v>37.5</v>
      </c>
      <c r="AC24">
        <v>0</v>
      </c>
      <c r="AD24">
        <v>0</v>
      </c>
      <c r="AE24">
        <v>106.25</v>
      </c>
    </row>
    <row r="25" spans="13:31">
      <c r="V25" t="s">
        <v>43</v>
      </c>
      <c r="W25">
        <v>30</v>
      </c>
      <c r="X25">
        <v>61.2</v>
      </c>
      <c r="Y25">
        <v>4.375</v>
      </c>
      <c r="Z25">
        <v>0</v>
      </c>
      <c r="AA25">
        <v>0</v>
      </c>
      <c r="AB25">
        <v>0</v>
      </c>
      <c r="AC25">
        <v>0</v>
      </c>
      <c r="AD25">
        <v>61.2</v>
      </c>
      <c r="AE25">
        <v>61.2</v>
      </c>
    </row>
    <row r="26" spans="13:31">
      <c r="V26" t="s">
        <v>43</v>
      </c>
      <c r="W26">
        <v>30</v>
      </c>
      <c r="X26">
        <v>61.2</v>
      </c>
      <c r="Y26">
        <v>4.375</v>
      </c>
      <c r="Z26">
        <v>0</v>
      </c>
      <c r="AA26">
        <v>0</v>
      </c>
      <c r="AB26">
        <v>0</v>
      </c>
      <c r="AC26">
        <v>0</v>
      </c>
      <c r="AD26">
        <v>61.2</v>
      </c>
      <c r="AE26">
        <v>61.2</v>
      </c>
    </row>
    <row r="27" spans="13:31">
      <c r="V27" t="s">
        <v>43</v>
      </c>
      <c r="W27">
        <v>30</v>
      </c>
      <c r="X27">
        <v>60.61</v>
      </c>
      <c r="Y27">
        <v>4.375</v>
      </c>
      <c r="Z27">
        <v>0</v>
      </c>
      <c r="AA27">
        <v>0</v>
      </c>
      <c r="AB27">
        <v>0</v>
      </c>
      <c r="AC27">
        <v>0</v>
      </c>
      <c r="AD27">
        <v>60.61</v>
      </c>
      <c r="AE27">
        <v>60.61</v>
      </c>
    </row>
    <row r="28" spans="13:31">
      <c r="V28" t="s">
        <v>43</v>
      </c>
      <c r="W28">
        <v>30</v>
      </c>
      <c r="X28">
        <v>60.61</v>
      </c>
      <c r="Y28">
        <v>4.375</v>
      </c>
      <c r="Z28">
        <v>0</v>
      </c>
      <c r="AA28">
        <v>0</v>
      </c>
      <c r="AB28">
        <v>0</v>
      </c>
      <c r="AC28">
        <v>0</v>
      </c>
      <c r="AD28">
        <v>60.61</v>
      </c>
      <c r="AE28">
        <v>60.61</v>
      </c>
    </row>
    <row r="29" spans="13:31">
      <c r="V29" t="s">
        <v>43</v>
      </c>
      <c r="W29">
        <v>70</v>
      </c>
      <c r="X29">
        <v>239.56</v>
      </c>
      <c r="Y29">
        <v>4.375</v>
      </c>
      <c r="Z29">
        <v>43.75</v>
      </c>
      <c r="AA29">
        <v>0</v>
      </c>
      <c r="AB29">
        <v>32.5</v>
      </c>
      <c r="AC29">
        <v>0</v>
      </c>
      <c r="AD29">
        <v>239.56</v>
      </c>
      <c r="AE29">
        <v>315.81</v>
      </c>
    </row>
    <row r="30" spans="13:31">
      <c r="V30" t="s">
        <v>43</v>
      </c>
      <c r="W30">
        <v>40</v>
      </c>
      <c r="X30">
        <v>109.2</v>
      </c>
      <c r="Y30">
        <v>4.375</v>
      </c>
      <c r="Z30">
        <v>63.75</v>
      </c>
      <c r="AA30">
        <v>0</v>
      </c>
      <c r="AB30">
        <v>30</v>
      </c>
      <c r="AC30">
        <v>0</v>
      </c>
      <c r="AD30">
        <v>109.2</v>
      </c>
      <c r="AE30">
        <v>202.95</v>
      </c>
    </row>
    <row r="31" spans="13:31">
      <c r="V31" t="s">
        <v>43</v>
      </c>
      <c r="W31">
        <v>80</v>
      </c>
      <c r="X31">
        <v>126.37</v>
      </c>
      <c r="Y31">
        <v>4.375</v>
      </c>
      <c r="Z31">
        <v>68.75</v>
      </c>
      <c r="AA31">
        <v>0</v>
      </c>
      <c r="AB31">
        <v>37.5</v>
      </c>
      <c r="AC31">
        <v>0</v>
      </c>
      <c r="AD31">
        <v>126.37</v>
      </c>
      <c r="AE31">
        <v>232.62</v>
      </c>
    </row>
    <row r="34" spans="1:23">
      <c r="V34" t="s">
        <v>44</v>
      </c>
      <c r="W34" t="s">
        <v>45</v>
      </c>
    </row>
    <row r="35" spans="1:23">
      <c r="V35">
        <v>1</v>
      </c>
      <c r="W35" t="s">
        <v>46</v>
      </c>
    </row>
    <row r="36" spans="1:23">
      <c r="V36">
        <v>2</v>
      </c>
      <c r="W36" t="s">
        <v>47</v>
      </c>
    </row>
    <row r="37" spans="1:23">
      <c r="V37">
        <v>3</v>
      </c>
      <c r="W37" t="s">
        <v>48</v>
      </c>
    </row>
    <row r="38" spans="1:23">
      <c r="V38">
        <v>4</v>
      </c>
      <c r="W38" s="49" t="s">
        <v>49</v>
      </c>
    </row>
    <row r="39" spans="1:23">
      <c r="V39">
        <v>5</v>
      </c>
      <c r="W39" t="s">
        <v>50</v>
      </c>
    </row>
    <row r="42" spans="1:23">
      <c r="A42" t="s">
        <v>19</v>
      </c>
      <c r="B42" t="s">
        <v>51</v>
      </c>
      <c r="C42" t="s">
        <v>21</v>
      </c>
      <c r="D42" t="s">
        <v>22</v>
      </c>
      <c r="E42" t="s">
        <v>52</v>
      </c>
      <c r="F42" t="s">
        <v>53</v>
      </c>
      <c r="G42" t="s">
        <v>54</v>
      </c>
      <c r="H42" t="s">
        <v>55</v>
      </c>
      <c r="I42" t="s">
        <v>56</v>
      </c>
      <c r="J42" t="s">
        <v>57</v>
      </c>
    </row>
    <row r="43" spans="1:23">
      <c r="A43" t="s">
        <v>43</v>
      </c>
      <c r="B43">
        <v>50</v>
      </c>
      <c r="C43">
        <v>239.56</v>
      </c>
      <c r="D43">
        <v>4.375</v>
      </c>
      <c r="E43">
        <f t="shared" ref="E43:E72" si="2">SQRT(C43)</f>
        <v>15.477725931156682</v>
      </c>
      <c r="F43">
        <f t="shared" ref="F43:F72" si="3">2*C43+4*D43*E43</f>
        <v>749.98020379524201</v>
      </c>
      <c r="G43">
        <f t="shared" ref="G43:G72" si="4">F43/B43</f>
        <v>14.999604075904839</v>
      </c>
      <c r="H43">
        <v>4</v>
      </c>
      <c r="I43">
        <v>8</v>
      </c>
      <c r="J43">
        <v>7</v>
      </c>
      <c r="O43" t="s">
        <v>58</v>
      </c>
    </row>
    <row r="44" spans="1:23">
      <c r="A44" t="s">
        <v>39</v>
      </c>
      <c r="B44">
        <v>70</v>
      </c>
      <c r="C44">
        <v>239.56</v>
      </c>
      <c r="D44">
        <v>4.375</v>
      </c>
      <c r="E44">
        <f t="shared" si="2"/>
        <v>15.477725931156682</v>
      </c>
      <c r="F44">
        <f t="shared" si="3"/>
        <v>749.98020379524201</v>
      </c>
      <c r="G44">
        <f t="shared" si="4"/>
        <v>10.7140029113606</v>
      </c>
      <c r="N44" t="s">
        <v>27</v>
      </c>
      <c r="O44">
        <v>0.16</v>
      </c>
    </row>
    <row r="45" spans="1:23">
      <c r="A45" t="s">
        <v>39</v>
      </c>
      <c r="B45">
        <v>30</v>
      </c>
      <c r="C45">
        <v>81.459999999999994</v>
      </c>
      <c r="D45">
        <v>4.375</v>
      </c>
      <c r="E45">
        <f t="shared" si="2"/>
        <v>9.0255193756370602</v>
      </c>
      <c r="F45">
        <f t="shared" si="3"/>
        <v>320.86658907364858</v>
      </c>
      <c r="G45">
        <f t="shared" si="4"/>
        <v>10.69555296912162</v>
      </c>
      <c r="N45" t="s">
        <v>59</v>
      </c>
      <c r="O45">
        <v>0.26</v>
      </c>
    </row>
    <row r="46" spans="1:23">
      <c r="A46" t="s">
        <v>39</v>
      </c>
      <c r="B46">
        <v>30</v>
      </c>
      <c r="C46">
        <v>76.64</v>
      </c>
      <c r="D46">
        <v>4.375</v>
      </c>
      <c r="E46">
        <f t="shared" si="2"/>
        <v>8.7544274512957152</v>
      </c>
      <c r="F46">
        <f t="shared" si="3"/>
        <v>306.48248039767498</v>
      </c>
      <c r="G46">
        <f t="shared" si="4"/>
        <v>10.216082679922499</v>
      </c>
      <c r="N46" t="s">
        <v>26</v>
      </c>
      <c r="O46">
        <v>0.18</v>
      </c>
    </row>
    <row r="47" spans="1:23">
      <c r="A47" t="s">
        <v>39</v>
      </c>
      <c r="B47">
        <v>30</v>
      </c>
      <c r="C47">
        <v>75.34</v>
      </c>
      <c r="D47">
        <v>4.375</v>
      </c>
      <c r="E47">
        <f t="shared" si="2"/>
        <v>8.6798617500510922</v>
      </c>
      <c r="F47">
        <f t="shared" si="3"/>
        <v>302.57758062589414</v>
      </c>
      <c r="G47">
        <f t="shared" si="4"/>
        <v>10.085919354196472</v>
      </c>
      <c r="H47">
        <v>2</v>
      </c>
      <c r="I47">
        <v>6</v>
      </c>
      <c r="J47">
        <v>5</v>
      </c>
      <c r="N47" t="s">
        <v>25</v>
      </c>
      <c r="O47">
        <v>1.6</v>
      </c>
    </row>
    <row r="48" spans="1:23">
      <c r="A48" t="s">
        <v>39</v>
      </c>
      <c r="B48">
        <v>30</v>
      </c>
      <c r="C48">
        <v>74.040000000000006</v>
      </c>
      <c r="D48">
        <v>4.375</v>
      </c>
      <c r="E48">
        <f t="shared" si="2"/>
        <v>8.6046499057195813</v>
      </c>
      <c r="F48">
        <f t="shared" si="3"/>
        <v>298.66137335009267</v>
      </c>
      <c r="G48">
        <f t="shared" si="4"/>
        <v>9.955379111669755</v>
      </c>
      <c r="N48" t="s">
        <v>60</v>
      </c>
      <c r="O48">
        <v>2.2000000000000002</v>
      </c>
    </row>
    <row r="49" spans="1:15">
      <c r="A49" t="s">
        <v>43</v>
      </c>
      <c r="B49">
        <v>30</v>
      </c>
      <c r="C49">
        <v>61.2</v>
      </c>
      <c r="D49">
        <v>4.375</v>
      </c>
      <c r="E49">
        <f t="shared" si="2"/>
        <v>7.8230428862431785</v>
      </c>
      <c r="F49">
        <f t="shared" si="3"/>
        <v>259.30325050925563</v>
      </c>
      <c r="G49">
        <f t="shared" si="4"/>
        <v>8.6434416836418553</v>
      </c>
      <c r="N49" t="s">
        <v>24</v>
      </c>
      <c r="O49">
        <v>1.6</v>
      </c>
    </row>
    <row r="50" spans="1:15">
      <c r="A50" t="s">
        <v>43</v>
      </c>
      <c r="B50">
        <v>30</v>
      </c>
      <c r="C50">
        <v>61.2</v>
      </c>
      <c r="D50">
        <v>4.375</v>
      </c>
      <c r="E50">
        <f t="shared" si="2"/>
        <v>7.8230428862431785</v>
      </c>
      <c r="F50">
        <f t="shared" si="3"/>
        <v>259.30325050925563</v>
      </c>
      <c r="G50">
        <f t="shared" si="4"/>
        <v>8.6434416836418553</v>
      </c>
    </row>
    <row r="51" spans="1:15">
      <c r="A51" t="s">
        <v>43</v>
      </c>
      <c r="B51">
        <v>30</v>
      </c>
      <c r="C51">
        <v>60.61</v>
      </c>
      <c r="D51">
        <v>4.375</v>
      </c>
      <c r="E51">
        <f t="shared" si="2"/>
        <v>7.7852424496607684</v>
      </c>
      <c r="F51">
        <f t="shared" si="3"/>
        <v>257.46174286906341</v>
      </c>
      <c r="G51">
        <f t="shared" si="4"/>
        <v>8.582058095635448</v>
      </c>
    </row>
    <row r="52" spans="1:15">
      <c r="A52" t="s">
        <v>43</v>
      </c>
      <c r="B52">
        <v>30</v>
      </c>
      <c r="C52">
        <v>60.61</v>
      </c>
      <c r="D52">
        <v>4.375</v>
      </c>
      <c r="E52">
        <f t="shared" si="2"/>
        <v>7.7852424496607684</v>
      </c>
      <c r="F52">
        <f t="shared" si="3"/>
        <v>257.46174286906341</v>
      </c>
      <c r="G52">
        <f t="shared" si="4"/>
        <v>8.582058095635448</v>
      </c>
    </row>
    <row r="53" spans="1:15">
      <c r="A53" t="s">
        <v>31</v>
      </c>
      <c r="B53">
        <v>40</v>
      </c>
      <c r="C53">
        <v>84.34</v>
      </c>
      <c r="D53">
        <v>4.375</v>
      </c>
      <c r="E53">
        <f t="shared" si="2"/>
        <v>9.1836811791350854</v>
      </c>
      <c r="F53">
        <f t="shared" si="3"/>
        <v>329.39442063486399</v>
      </c>
      <c r="G53">
        <f t="shared" si="4"/>
        <v>8.2348605158715991</v>
      </c>
    </row>
    <row r="54" spans="1:15">
      <c r="A54" t="s">
        <v>31</v>
      </c>
      <c r="B54">
        <v>40</v>
      </c>
      <c r="C54">
        <v>83.28</v>
      </c>
      <c r="D54">
        <v>4.375</v>
      </c>
      <c r="E54">
        <f t="shared" si="2"/>
        <v>9.125787637239867</v>
      </c>
      <c r="F54">
        <f t="shared" si="3"/>
        <v>326.26128365169768</v>
      </c>
      <c r="G54">
        <f t="shared" si="4"/>
        <v>8.1565320912924424</v>
      </c>
    </row>
    <row r="55" spans="1:15">
      <c r="A55" t="s">
        <v>39</v>
      </c>
      <c r="B55">
        <v>40</v>
      </c>
      <c r="C55">
        <v>66.349999999999994</v>
      </c>
      <c r="D55">
        <v>4.375</v>
      </c>
      <c r="E55">
        <f t="shared" si="2"/>
        <v>8.1455509328712683</v>
      </c>
      <c r="F55">
        <f t="shared" si="3"/>
        <v>275.24714132524718</v>
      </c>
      <c r="G55">
        <f t="shared" si="4"/>
        <v>6.8811785331311794</v>
      </c>
    </row>
    <row r="56" spans="1:15">
      <c r="A56" t="s">
        <v>39</v>
      </c>
      <c r="B56">
        <v>40</v>
      </c>
      <c r="C56">
        <v>63.45</v>
      </c>
      <c r="D56">
        <v>4.375</v>
      </c>
      <c r="E56">
        <f t="shared" si="2"/>
        <v>7.9655508284110521</v>
      </c>
      <c r="F56">
        <f t="shared" si="3"/>
        <v>266.29713949719343</v>
      </c>
      <c r="G56">
        <f t="shared" si="4"/>
        <v>6.6574284874298355</v>
      </c>
    </row>
    <row r="57" spans="1:15">
      <c r="A57" t="s">
        <v>39</v>
      </c>
      <c r="B57">
        <v>40</v>
      </c>
      <c r="C57">
        <v>63.37</v>
      </c>
      <c r="D57">
        <v>4.375</v>
      </c>
      <c r="E57">
        <f t="shared" si="2"/>
        <v>7.9605276207045472</v>
      </c>
      <c r="F57">
        <f t="shared" si="3"/>
        <v>266.04923336232957</v>
      </c>
      <c r="G57">
        <f t="shared" si="4"/>
        <v>6.6512308340582393</v>
      </c>
    </row>
    <row r="58" spans="1:15">
      <c r="A58" t="s">
        <v>31</v>
      </c>
      <c r="B58">
        <v>80</v>
      </c>
      <c r="C58">
        <v>133.63999999999999</v>
      </c>
      <c r="D58">
        <v>4.375</v>
      </c>
      <c r="E58">
        <f t="shared" si="2"/>
        <v>11.56027681329474</v>
      </c>
      <c r="F58">
        <f t="shared" si="3"/>
        <v>469.58484423265793</v>
      </c>
      <c r="G58">
        <f t="shared" si="4"/>
        <v>5.8698105529082243</v>
      </c>
    </row>
    <row r="59" spans="1:15">
      <c r="A59" t="s">
        <v>39</v>
      </c>
      <c r="B59">
        <v>70</v>
      </c>
      <c r="C59">
        <v>109.2</v>
      </c>
      <c r="D59">
        <v>4.375</v>
      </c>
      <c r="E59">
        <f t="shared" si="2"/>
        <v>10.449880382090505</v>
      </c>
      <c r="F59">
        <f t="shared" si="3"/>
        <v>401.27290668658384</v>
      </c>
      <c r="G59">
        <f t="shared" si="4"/>
        <v>5.7324700955226264</v>
      </c>
    </row>
    <row r="60" spans="1:15">
      <c r="A60" t="s">
        <v>43</v>
      </c>
      <c r="B60">
        <v>70</v>
      </c>
      <c r="C60">
        <v>109.2</v>
      </c>
      <c r="D60">
        <v>4.375</v>
      </c>
      <c r="E60">
        <f t="shared" si="2"/>
        <v>10.449880382090505</v>
      </c>
      <c r="F60">
        <f t="shared" si="3"/>
        <v>401.27290668658384</v>
      </c>
      <c r="G60">
        <f t="shared" si="4"/>
        <v>5.7324700955226264</v>
      </c>
    </row>
    <row r="61" spans="1:15">
      <c r="A61" t="s">
        <v>39</v>
      </c>
      <c r="B61">
        <v>80</v>
      </c>
      <c r="C61">
        <v>126.37</v>
      </c>
      <c r="D61">
        <v>4.375</v>
      </c>
      <c r="E61">
        <f t="shared" si="2"/>
        <v>11.241441188744441</v>
      </c>
      <c r="F61">
        <f t="shared" si="3"/>
        <v>449.46522080302771</v>
      </c>
      <c r="G61">
        <f t="shared" si="4"/>
        <v>5.6183152600378463</v>
      </c>
    </row>
    <row r="62" spans="1:15">
      <c r="A62" t="s">
        <v>43</v>
      </c>
      <c r="B62">
        <v>80</v>
      </c>
      <c r="C62">
        <v>126.37</v>
      </c>
      <c r="D62">
        <v>4.375</v>
      </c>
      <c r="E62">
        <f t="shared" si="2"/>
        <v>11.241441188744441</v>
      </c>
      <c r="F62">
        <f t="shared" si="3"/>
        <v>449.46522080302771</v>
      </c>
      <c r="G62">
        <f t="shared" si="4"/>
        <v>5.6183152600378463</v>
      </c>
      <c r="H62">
        <v>4</v>
      </c>
      <c r="I62">
        <v>8</v>
      </c>
      <c r="J62">
        <v>6</v>
      </c>
    </row>
    <row r="63" spans="1:15">
      <c r="A63" t="s">
        <v>31</v>
      </c>
      <c r="B63">
        <v>80</v>
      </c>
      <c r="C63">
        <v>124.62</v>
      </c>
      <c r="D63">
        <v>4.375</v>
      </c>
      <c r="E63">
        <f t="shared" si="2"/>
        <v>11.163332835672328</v>
      </c>
      <c r="F63">
        <f t="shared" si="3"/>
        <v>444.59832462426573</v>
      </c>
      <c r="G63">
        <f t="shared" si="4"/>
        <v>5.557479057803322</v>
      </c>
    </row>
    <row r="64" spans="1:15">
      <c r="A64" t="s">
        <v>31</v>
      </c>
      <c r="B64">
        <v>80</v>
      </c>
      <c r="C64">
        <v>124.62</v>
      </c>
      <c r="D64">
        <v>4.375</v>
      </c>
      <c r="E64">
        <f t="shared" si="2"/>
        <v>11.163332835672328</v>
      </c>
      <c r="F64">
        <f t="shared" si="3"/>
        <v>444.59832462426573</v>
      </c>
      <c r="G64">
        <f t="shared" si="4"/>
        <v>5.557479057803322</v>
      </c>
    </row>
    <row r="65" spans="1:11">
      <c r="A65" t="s">
        <v>31</v>
      </c>
      <c r="B65">
        <v>50</v>
      </c>
      <c r="C65">
        <v>55.17</v>
      </c>
      <c r="D65">
        <v>4.375</v>
      </c>
      <c r="E65">
        <f t="shared" si="2"/>
        <v>7.4276510418839683</v>
      </c>
      <c r="F65">
        <f t="shared" si="3"/>
        <v>240.32389323296945</v>
      </c>
      <c r="G65">
        <f t="shared" si="4"/>
        <v>4.8064778646593886</v>
      </c>
    </row>
    <row r="66" spans="1:11">
      <c r="A66" t="s">
        <v>31</v>
      </c>
      <c r="B66">
        <v>50</v>
      </c>
      <c r="C66">
        <v>54.72</v>
      </c>
      <c r="D66">
        <v>4.375</v>
      </c>
      <c r="E66">
        <f t="shared" si="2"/>
        <v>7.3972968035627717</v>
      </c>
      <c r="F66">
        <f t="shared" si="3"/>
        <v>238.89269406234851</v>
      </c>
      <c r="G66">
        <f t="shared" si="4"/>
        <v>4.77785388124697</v>
      </c>
    </row>
    <row r="67" spans="1:11">
      <c r="A67" t="s">
        <v>31</v>
      </c>
      <c r="B67">
        <v>50</v>
      </c>
      <c r="C67">
        <v>54.27</v>
      </c>
      <c r="D67">
        <v>4.375</v>
      </c>
      <c r="E67">
        <f t="shared" si="2"/>
        <v>7.366817494685205</v>
      </c>
      <c r="F67">
        <f t="shared" si="3"/>
        <v>237.45930615699109</v>
      </c>
      <c r="G67">
        <f t="shared" si="4"/>
        <v>4.7491861231398218</v>
      </c>
    </row>
    <row r="68" spans="1:11">
      <c r="A68" t="s">
        <v>31</v>
      </c>
      <c r="B68">
        <v>50</v>
      </c>
      <c r="C68">
        <v>53.41</v>
      </c>
      <c r="D68">
        <v>4.375</v>
      </c>
      <c r="E68">
        <f t="shared" si="2"/>
        <v>7.3082145562373846</v>
      </c>
      <c r="F68">
        <f t="shared" si="3"/>
        <v>234.71375473415424</v>
      </c>
      <c r="G68">
        <f t="shared" si="4"/>
        <v>4.6942750946830847</v>
      </c>
    </row>
    <row r="69" spans="1:11">
      <c r="A69" t="s">
        <v>29</v>
      </c>
      <c r="B69">
        <v>350</v>
      </c>
      <c r="C69">
        <v>331.81</v>
      </c>
      <c r="D69">
        <v>8.75</v>
      </c>
      <c r="E69">
        <f t="shared" si="2"/>
        <v>18.215652609774924</v>
      </c>
      <c r="F69">
        <f t="shared" si="3"/>
        <v>1301.1678413421223</v>
      </c>
      <c r="G69">
        <f t="shared" si="4"/>
        <v>3.717622403834635</v>
      </c>
      <c r="H69">
        <v>4</v>
      </c>
      <c r="I69">
        <v>0</v>
      </c>
      <c r="J69">
        <v>8</v>
      </c>
    </row>
    <row r="70" spans="1:11">
      <c r="A70" t="s">
        <v>29</v>
      </c>
      <c r="B70">
        <v>350</v>
      </c>
      <c r="C70">
        <v>330.53</v>
      </c>
      <c r="D70">
        <v>8.75</v>
      </c>
      <c r="E70">
        <f t="shared" si="2"/>
        <v>18.180484041961037</v>
      </c>
      <c r="F70">
        <f t="shared" si="3"/>
        <v>1297.3769414686362</v>
      </c>
      <c r="G70">
        <f t="shared" si="4"/>
        <v>3.7067912613389606</v>
      </c>
    </row>
    <row r="71" spans="1:11">
      <c r="A71" t="s">
        <v>29</v>
      </c>
      <c r="B71">
        <v>150</v>
      </c>
      <c r="C71">
        <v>148.16999999999999</v>
      </c>
      <c r="D71">
        <v>4.375</v>
      </c>
      <c r="E71">
        <f t="shared" si="2"/>
        <v>12.172510012318741</v>
      </c>
      <c r="F71">
        <f t="shared" si="3"/>
        <v>509.35892521557793</v>
      </c>
      <c r="G71">
        <f t="shared" si="4"/>
        <v>3.3957261681038529</v>
      </c>
    </row>
    <row r="72" spans="1:11">
      <c r="A72" t="s">
        <v>30</v>
      </c>
      <c r="B72">
        <v>150</v>
      </c>
      <c r="C72">
        <v>148.16999999999999</v>
      </c>
      <c r="D72">
        <v>4.375</v>
      </c>
      <c r="E72">
        <f t="shared" si="2"/>
        <v>12.172510012318741</v>
      </c>
      <c r="F72">
        <f t="shared" si="3"/>
        <v>509.35892521557793</v>
      </c>
      <c r="G72">
        <f t="shared" si="4"/>
        <v>3.3957261681038529</v>
      </c>
    </row>
    <row r="74" spans="1:11">
      <c r="A74" t="s">
        <v>61</v>
      </c>
    </row>
    <row r="75" spans="1:11">
      <c r="E75" t="s">
        <v>62</v>
      </c>
    </row>
    <row r="76" spans="1:11">
      <c r="A76" t="s">
        <v>19</v>
      </c>
      <c r="B76" t="s">
        <v>51</v>
      </c>
      <c r="C76" t="s">
        <v>21</v>
      </c>
      <c r="D76" t="s">
        <v>22</v>
      </c>
      <c r="E76" t="s">
        <v>23</v>
      </c>
      <c r="F76" t="s">
        <v>24</v>
      </c>
      <c r="G76" t="s">
        <v>25</v>
      </c>
      <c r="H76" t="s">
        <v>26</v>
      </c>
      <c r="I76" t="s">
        <v>27</v>
      </c>
      <c r="J76" t="s">
        <v>28</v>
      </c>
    </row>
    <row r="77" spans="1:11">
      <c r="A77" t="s">
        <v>29</v>
      </c>
      <c r="B77">
        <v>150</v>
      </c>
      <c r="C77">
        <v>148.16999999999999</v>
      </c>
      <c r="D77">
        <v>4.375</v>
      </c>
      <c r="E77">
        <f>2*Table911[[#This Row],[Height]]*SQRT(Table911[[#This Row],[Floor Area]])</f>
        <v>106.50946260778898</v>
      </c>
      <c r="F77">
        <v>0</v>
      </c>
      <c r="G77">
        <v>0</v>
      </c>
      <c r="H77">
        <v>148.16999999999999</v>
      </c>
      <c r="I77">
        <v>0</v>
      </c>
      <c r="J77">
        <f>SUM(Table911[[#This Row],[Wall ]:[Roof]])</f>
        <v>254.67946260778896</v>
      </c>
    </row>
    <row r="78" spans="1:11">
      <c r="A78" t="s">
        <v>29</v>
      </c>
      <c r="B78">
        <v>350</v>
      </c>
      <c r="C78">
        <v>331.81</v>
      </c>
      <c r="D78">
        <v>8.75</v>
      </c>
      <c r="E78">
        <f>K78*6.5*Table911[[#This Row],[Height]]</f>
        <v>162.5</v>
      </c>
      <c r="F78">
        <f>2*1.98</f>
        <v>3.96</v>
      </c>
      <c r="G78">
        <v>0</v>
      </c>
      <c r="H78">
        <v>331.81</v>
      </c>
      <c r="I78">
        <v>0</v>
      </c>
      <c r="J78">
        <f>SUM(Table911[[#This Row],[Wall ]:[Roof]])</f>
        <v>498.27</v>
      </c>
      <c r="K78">
        <f>20/7</f>
        <v>2.8571428571428572</v>
      </c>
    </row>
    <row r="79" spans="1:11">
      <c r="A79" t="s">
        <v>29</v>
      </c>
      <c r="B79">
        <v>350</v>
      </c>
      <c r="C79">
        <v>330.53</v>
      </c>
      <c r="D79">
        <v>8.75</v>
      </c>
      <c r="E79">
        <f>K78*6.4*Table911[[#This Row],[Height]]</f>
        <v>160.00000000000003</v>
      </c>
      <c r="F79">
        <v>3.96</v>
      </c>
      <c r="G79">
        <v>0</v>
      </c>
      <c r="H79">
        <v>330.53</v>
      </c>
      <c r="I79">
        <v>0</v>
      </c>
      <c r="J79">
        <f>SUM(Table911[[#This Row],[Wall ]:[Roof]])</f>
        <v>494.49</v>
      </c>
    </row>
    <row r="80" spans="1:11">
      <c r="A80" t="s">
        <v>30</v>
      </c>
      <c r="B80">
        <v>150</v>
      </c>
      <c r="C80">
        <v>148.16999999999999</v>
      </c>
      <c r="D80">
        <v>4.375</v>
      </c>
      <c r="E80">
        <f>2*Table911[[#This Row],[Height]]*SQRT(Table911[[#This Row],[Floor Area]])</f>
        <v>106.50946260778898</v>
      </c>
      <c r="F80">
        <v>0</v>
      </c>
      <c r="G80">
        <v>0</v>
      </c>
      <c r="H80">
        <v>0</v>
      </c>
      <c r="I80">
        <v>0</v>
      </c>
      <c r="J80">
        <f>SUM(Table911[[#This Row],[Wall ]:[Roof]])</f>
        <v>106.50946260778898</v>
      </c>
    </row>
    <row r="81" spans="1:10">
      <c r="A81" t="s">
        <v>31</v>
      </c>
      <c r="B81">
        <v>40</v>
      </c>
      <c r="C81">
        <v>84.34</v>
      </c>
      <c r="D81">
        <v>4.375</v>
      </c>
      <c r="E81">
        <f>1*K78*Table911[[#This Row],[Height]]</f>
        <v>12.5</v>
      </c>
      <c r="F81">
        <v>0</v>
      </c>
      <c r="G81">
        <f>0.3*K78*Table911[[#This Row],[Height]]</f>
        <v>3.75</v>
      </c>
      <c r="H81">
        <v>0</v>
      </c>
      <c r="I81">
        <v>0</v>
      </c>
      <c r="J81">
        <f>SUM(Table911[[#This Row],[Wall ]:[Roof]])</f>
        <v>16.25</v>
      </c>
    </row>
    <row r="82" spans="1:10">
      <c r="A82" t="s">
        <v>31</v>
      </c>
      <c r="B82">
        <v>40</v>
      </c>
      <c r="C82">
        <v>83.28</v>
      </c>
      <c r="D82">
        <v>4.375</v>
      </c>
      <c r="E82">
        <f>6*K78*Table911[[#This Row],[Height]]</f>
        <v>75</v>
      </c>
      <c r="F82">
        <v>0</v>
      </c>
      <c r="G82">
        <f>1.2*K78*Table911[[#This Row],[Height]]</f>
        <v>15</v>
      </c>
      <c r="H82">
        <v>0</v>
      </c>
      <c r="I82">
        <v>0</v>
      </c>
      <c r="J82">
        <f>SUM(Table911[[#This Row],[Wall ]:[Roof]])</f>
        <v>90</v>
      </c>
    </row>
    <row r="83" spans="1:10">
      <c r="A83" t="s">
        <v>31</v>
      </c>
      <c r="B83">
        <v>30</v>
      </c>
      <c r="C83">
        <v>55.17</v>
      </c>
      <c r="D83">
        <v>4.375</v>
      </c>
      <c r="E83">
        <f>2*K78*Table911[[#This Row],[Height]]</f>
        <v>25</v>
      </c>
      <c r="F83">
        <v>0</v>
      </c>
      <c r="G83">
        <f>1*K78*Table911[[#This Row],[Height]]</f>
        <v>12.5</v>
      </c>
      <c r="H83">
        <v>0</v>
      </c>
      <c r="I83">
        <v>0</v>
      </c>
      <c r="J83">
        <f>SUM(Table911[[#This Row],[Wall ]:[Roof]])</f>
        <v>37.5</v>
      </c>
    </row>
    <row r="84" spans="1:10">
      <c r="A84" t="s">
        <v>31</v>
      </c>
      <c r="B84">
        <v>30</v>
      </c>
      <c r="C84">
        <v>54.72</v>
      </c>
      <c r="D84">
        <v>4.375</v>
      </c>
      <c r="E84">
        <v>25</v>
      </c>
      <c r="F84">
        <v>0</v>
      </c>
      <c r="G84">
        <v>12.5</v>
      </c>
      <c r="H84">
        <v>0</v>
      </c>
      <c r="I84">
        <v>0</v>
      </c>
      <c r="J84">
        <f>SUM(Table911[[#This Row],[Wall ]:[Roof]])</f>
        <v>37.5</v>
      </c>
    </row>
    <row r="85" spans="1:10">
      <c r="A85" t="s">
        <v>31</v>
      </c>
      <c r="B85">
        <v>30</v>
      </c>
      <c r="C85">
        <v>54.27</v>
      </c>
      <c r="D85">
        <v>4.375</v>
      </c>
      <c r="E85">
        <v>25</v>
      </c>
      <c r="F85">
        <v>0</v>
      </c>
      <c r="G85">
        <v>12.5</v>
      </c>
      <c r="H85">
        <v>0</v>
      </c>
      <c r="I85">
        <v>0</v>
      </c>
      <c r="J85">
        <f>SUM(Table911[[#This Row],[Wall ]:[Roof]])</f>
        <v>37.5</v>
      </c>
    </row>
    <row r="86" spans="1:10">
      <c r="A86" t="s">
        <v>31</v>
      </c>
      <c r="B86">
        <v>30</v>
      </c>
      <c r="C86">
        <v>53.41</v>
      </c>
      <c r="D86">
        <v>4.375</v>
      </c>
      <c r="E86">
        <v>25</v>
      </c>
      <c r="F86">
        <v>0</v>
      </c>
      <c r="G86">
        <v>12.5</v>
      </c>
      <c r="H86">
        <v>0</v>
      </c>
      <c r="I86">
        <v>0</v>
      </c>
      <c r="J86">
        <f>SUM(Table911[[#This Row],[Wall ]:[Roof]])</f>
        <v>37.5</v>
      </c>
    </row>
    <row r="87" spans="1:10">
      <c r="A87" t="s">
        <v>31</v>
      </c>
      <c r="B87">
        <v>80</v>
      </c>
      <c r="C87">
        <v>133.63999999999999</v>
      </c>
      <c r="D87">
        <v>4.375</v>
      </c>
      <c r="E87">
        <f>7.9*K78*Table911[[#This Row],[Height]]</f>
        <v>98.75</v>
      </c>
      <c r="F87">
        <v>0</v>
      </c>
      <c r="G87">
        <f>1.7*K78*Table911[[#This Row],[Height]]</f>
        <v>21.25</v>
      </c>
      <c r="H87">
        <v>0</v>
      </c>
      <c r="I87">
        <v>0</v>
      </c>
      <c r="J87">
        <f>SUM(Table911[[#This Row],[Wall ]:[Roof]])</f>
        <v>120</v>
      </c>
    </row>
    <row r="88" spans="1:10">
      <c r="A88" t="s">
        <v>31</v>
      </c>
      <c r="B88">
        <v>80</v>
      </c>
      <c r="C88">
        <v>124.62</v>
      </c>
      <c r="D88">
        <v>4.375</v>
      </c>
      <c r="E88">
        <v>0</v>
      </c>
      <c r="F88">
        <v>0</v>
      </c>
      <c r="G88">
        <v>0</v>
      </c>
      <c r="H88">
        <v>0</v>
      </c>
      <c r="I88">
        <v>0</v>
      </c>
      <c r="J88">
        <f>SUM(Table911[[#This Row],[Wall ]:[Roof]])</f>
        <v>0</v>
      </c>
    </row>
    <row r="89" spans="1:10">
      <c r="A89" t="s">
        <v>31</v>
      </c>
      <c r="B89">
        <v>80</v>
      </c>
      <c r="C89">
        <v>124.62</v>
      </c>
      <c r="D89">
        <v>4.375</v>
      </c>
      <c r="E89">
        <v>0</v>
      </c>
      <c r="F89">
        <v>0</v>
      </c>
      <c r="G89">
        <v>0</v>
      </c>
      <c r="H89">
        <v>0</v>
      </c>
      <c r="I89">
        <v>0</v>
      </c>
      <c r="J89">
        <f>SUM(Table911[[#This Row],[Wall ]:[Roof]])</f>
        <v>0</v>
      </c>
    </row>
    <row r="90" spans="1:10">
      <c r="A90" t="s">
        <v>39</v>
      </c>
      <c r="B90">
        <v>30</v>
      </c>
      <c r="C90">
        <v>81.459999999999994</v>
      </c>
      <c r="D90">
        <v>4.375</v>
      </c>
      <c r="E90">
        <f>1*K78*Table911[[#This Row],[Height]]</f>
        <v>12.5</v>
      </c>
      <c r="F90">
        <v>0</v>
      </c>
      <c r="G90">
        <f>2.1*K78*Table911[[#This Row],[Height]]</f>
        <v>26.25</v>
      </c>
      <c r="H90">
        <v>0</v>
      </c>
      <c r="I90">
        <v>0</v>
      </c>
      <c r="J90">
        <f>SUM(Table911[[#This Row],[Wall ]:[Roof]])</f>
        <v>38.75</v>
      </c>
    </row>
    <row r="91" spans="1:10">
      <c r="A91" t="s">
        <v>39</v>
      </c>
      <c r="B91">
        <v>30</v>
      </c>
      <c r="C91">
        <v>76.64</v>
      </c>
      <c r="D91">
        <v>4.375</v>
      </c>
      <c r="E91">
        <v>12.5</v>
      </c>
      <c r="F91">
        <v>0</v>
      </c>
      <c r="G91">
        <v>26.25</v>
      </c>
      <c r="H91">
        <v>0</v>
      </c>
      <c r="I91">
        <v>0</v>
      </c>
      <c r="J91">
        <f>SUM(Table911[[#This Row],[Wall ]:[Roof]])</f>
        <v>38.75</v>
      </c>
    </row>
    <row r="92" spans="1:10">
      <c r="A92" t="s">
        <v>39</v>
      </c>
      <c r="B92">
        <v>30</v>
      </c>
      <c r="C92">
        <v>75.34</v>
      </c>
      <c r="D92">
        <v>4.375</v>
      </c>
      <c r="E92">
        <v>12.5</v>
      </c>
      <c r="F92">
        <v>0</v>
      </c>
      <c r="G92">
        <v>26.25</v>
      </c>
      <c r="H92">
        <v>0</v>
      </c>
      <c r="I92">
        <v>0</v>
      </c>
      <c r="J92">
        <f>SUM(Table911[[#This Row],[Wall ]:[Roof]])</f>
        <v>38.75</v>
      </c>
    </row>
    <row r="93" spans="1:10">
      <c r="A93" t="s">
        <v>39</v>
      </c>
      <c r="B93">
        <v>30</v>
      </c>
      <c r="C93">
        <v>74.040000000000006</v>
      </c>
      <c r="D93">
        <v>4.375</v>
      </c>
      <c r="E93">
        <v>12.5</v>
      </c>
      <c r="F93">
        <v>0</v>
      </c>
      <c r="G93">
        <v>26.25</v>
      </c>
      <c r="H93">
        <v>0</v>
      </c>
      <c r="I93">
        <v>0</v>
      </c>
      <c r="J93">
        <f>SUM(Table911[[#This Row],[Wall ]:[Roof]])</f>
        <v>38.75</v>
      </c>
    </row>
    <row r="94" spans="1:10">
      <c r="A94" t="s">
        <v>39</v>
      </c>
      <c r="B94">
        <v>40</v>
      </c>
      <c r="C94">
        <v>66.349999999999994</v>
      </c>
      <c r="D94">
        <v>4.375</v>
      </c>
      <c r="E94">
        <v>0</v>
      </c>
      <c r="F94">
        <v>0</v>
      </c>
      <c r="G94">
        <v>0</v>
      </c>
      <c r="H94">
        <v>0</v>
      </c>
      <c r="I94">
        <v>0</v>
      </c>
      <c r="J94">
        <f>SUM(Table911[[#This Row],[Wall ]:[Roof]])</f>
        <v>0</v>
      </c>
    </row>
    <row r="95" spans="1:10">
      <c r="A95" t="s">
        <v>39</v>
      </c>
      <c r="B95">
        <v>40</v>
      </c>
      <c r="C95">
        <v>63.45</v>
      </c>
      <c r="D95">
        <v>4.375</v>
      </c>
      <c r="E95">
        <v>0</v>
      </c>
      <c r="F95">
        <v>0</v>
      </c>
      <c r="G95">
        <v>0</v>
      </c>
      <c r="H95">
        <v>0</v>
      </c>
      <c r="I95">
        <v>0</v>
      </c>
      <c r="J95">
        <f>SUM(Table911[[#This Row],[Wall ]:[Roof]])</f>
        <v>0</v>
      </c>
    </row>
    <row r="96" spans="1:10">
      <c r="A96" t="s">
        <v>39</v>
      </c>
      <c r="B96">
        <v>40</v>
      </c>
      <c r="C96">
        <v>63.37</v>
      </c>
      <c r="D96">
        <v>4.375</v>
      </c>
      <c r="E96">
        <v>0</v>
      </c>
      <c r="F96">
        <v>0</v>
      </c>
      <c r="G96">
        <v>0</v>
      </c>
      <c r="H96">
        <v>0</v>
      </c>
      <c r="I96">
        <v>0</v>
      </c>
      <c r="J96">
        <f>SUM(Table911[[#This Row],[Wall ]:[Roof]])</f>
        <v>0</v>
      </c>
    </row>
    <row r="97" spans="1:10">
      <c r="A97" t="s">
        <v>39</v>
      </c>
      <c r="B97">
        <v>70</v>
      </c>
      <c r="C97">
        <v>239.56</v>
      </c>
      <c r="D97">
        <v>4.375</v>
      </c>
      <c r="E97">
        <f>3.5*K78*Table911[[#This Row],[Height]]</f>
        <v>43.75</v>
      </c>
      <c r="F97">
        <v>0</v>
      </c>
      <c r="G97">
        <f>2.6*K78*Table911[[#This Row],[Height]]</f>
        <v>32.5</v>
      </c>
      <c r="H97">
        <v>0</v>
      </c>
      <c r="I97">
        <v>0</v>
      </c>
      <c r="J97">
        <f>SUM(Table911[[#This Row],[Wall ]:[Roof]])</f>
        <v>76.25</v>
      </c>
    </row>
    <row r="98" spans="1:10">
      <c r="A98" t="s">
        <v>39</v>
      </c>
      <c r="B98">
        <v>40</v>
      </c>
      <c r="C98">
        <v>109.2</v>
      </c>
      <c r="D98">
        <v>4.375</v>
      </c>
      <c r="E98">
        <f>5.1*K78*Table911[[#This Row],[Height]]</f>
        <v>63.75</v>
      </c>
      <c r="F98">
        <v>0</v>
      </c>
      <c r="G98">
        <f>2.4*K78*Table911[[#This Row],[Height]]</f>
        <v>30</v>
      </c>
      <c r="H98">
        <v>0</v>
      </c>
      <c r="I98">
        <v>0</v>
      </c>
      <c r="J98">
        <f>SUM(Table911[[#This Row],[Wall ]:[Roof]])</f>
        <v>93.75</v>
      </c>
    </row>
    <row r="99" spans="1:10">
      <c r="A99" t="s">
        <v>39</v>
      </c>
      <c r="B99">
        <v>80</v>
      </c>
      <c r="C99">
        <v>126.37</v>
      </c>
      <c r="D99">
        <v>4.375</v>
      </c>
      <c r="E99">
        <f>5.5*K78*Table911[[#This Row],[Height]]</f>
        <v>68.75</v>
      </c>
      <c r="F99">
        <v>0</v>
      </c>
      <c r="G99">
        <f>3*K78*Table911[[#This Row],[Height]]</f>
        <v>37.5</v>
      </c>
      <c r="H99">
        <v>0</v>
      </c>
      <c r="I99">
        <v>0</v>
      </c>
      <c r="J99">
        <f>SUM(Table911[[#This Row],[Wall ]:[Roof]])</f>
        <v>106.25</v>
      </c>
    </row>
    <row r="100" spans="1:10">
      <c r="A100" t="s">
        <v>43</v>
      </c>
      <c r="B100">
        <v>30</v>
      </c>
      <c r="C100">
        <v>61.2</v>
      </c>
      <c r="D100">
        <v>4.375</v>
      </c>
      <c r="E100">
        <v>0</v>
      </c>
      <c r="F100">
        <v>0</v>
      </c>
      <c r="G100">
        <v>0</v>
      </c>
      <c r="H100">
        <v>0</v>
      </c>
      <c r="I100">
        <v>61.2</v>
      </c>
      <c r="J100">
        <f>SUM(Table911[[#This Row],[Wall ]:[Roof]])</f>
        <v>61.2</v>
      </c>
    </row>
    <row r="101" spans="1:10">
      <c r="A101" t="s">
        <v>43</v>
      </c>
      <c r="B101">
        <v>30</v>
      </c>
      <c r="C101">
        <v>61.2</v>
      </c>
      <c r="D101">
        <v>4.375</v>
      </c>
      <c r="E101">
        <v>0</v>
      </c>
      <c r="F101">
        <v>0</v>
      </c>
      <c r="G101">
        <v>0</v>
      </c>
      <c r="H101">
        <v>0</v>
      </c>
      <c r="I101">
        <v>61.2</v>
      </c>
      <c r="J101">
        <f>SUM(Table911[[#This Row],[Wall ]:[Roof]])</f>
        <v>61.2</v>
      </c>
    </row>
    <row r="102" spans="1:10">
      <c r="A102" t="s">
        <v>43</v>
      </c>
      <c r="B102">
        <v>30</v>
      </c>
      <c r="C102">
        <v>60.61</v>
      </c>
      <c r="D102">
        <v>4.375</v>
      </c>
      <c r="E102">
        <v>0</v>
      </c>
      <c r="F102">
        <v>0</v>
      </c>
      <c r="G102">
        <v>0</v>
      </c>
      <c r="H102">
        <v>0</v>
      </c>
      <c r="I102">
        <v>60.61</v>
      </c>
      <c r="J102">
        <f>SUM(Table911[[#This Row],[Wall ]:[Roof]])</f>
        <v>60.61</v>
      </c>
    </row>
    <row r="103" spans="1:10">
      <c r="A103" t="s">
        <v>43</v>
      </c>
      <c r="B103">
        <v>30</v>
      </c>
      <c r="C103">
        <v>60.61</v>
      </c>
      <c r="D103">
        <v>4.375</v>
      </c>
      <c r="E103">
        <v>0</v>
      </c>
      <c r="F103">
        <v>0</v>
      </c>
      <c r="G103">
        <v>0</v>
      </c>
      <c r="H103">
        <v>0</v>
      </c>
      <c r="I103">
        <v>60.61</v>
      </c>
      <c r="J103">
        <f>SUM(Table911[[#This Row],[Wall ]:[Roof]])</f>
        <v>60.61</v>
      </c>
    </row>
    <row r="104" spans="1:10">
      <c r="A104" t="s">
        <v>43</v>
      </c>
      <c r="B104">
        <v>70</v>
      </c>
      <c r="C104">
        <v>239.56</v>
      </c>
      <c r="D104">
        <v>4.375</v>
      </c>
      <c r="E104">
        <v>43.75</v>
      </c>
      <c r="F104">
        <v>0</v>
      </c>
      <c r="G104">
        <v>32.5</v>
      </c>
      <c r="H104">
        <v>0</v>
      </c>
      <c r="I104">
        <v>239.56</v>
      </c>
      <c r="J104">
        <f>SUM(Table911[[#This Row],[Wall ]:[Roof]])</f>
        <v>315.81</v>
      </c>
    </row>
    <row r="105" spans="1:10">
      <c r="A105" t="s">
        <v>43</v>
      </c>
      <c r="B105">
        <v>40</v>
      </c>
      <c r="C105">
        <v>109.2</v>
      </c>
      <c r="D105">
        <v>4.375</v>
      </c>
      <c r="E105">
        <v>63.75</v>
      </c>
      <c r="F105">
        <v>0</v>
      </c>
      <c r="G105">
        <v>30</v>
      </c>
      <c r="H105">
        <v>0</v>
      </c>
      <c r="I105">
        <v>109.2</v>
      </c>
      <c r="J105">
        <f>SUM(Table911[[#This Row],[Wall ]:[Roof]])</f>
        <v>202.95</v>
      </c>
    </row>
    <row r="106" spans="1:10">
      <c r="A106" t="s">
        <v>43</v>
      </c>
      <c r="B106">
        <v>80</v>
      </c>
      <c r="C106">
        <v>126.37</v>
      </c>
      <c r="D106">
        <v>4.375</v>
      </c>
      <c r="E106">
        <v>68.75</v>
      </c>
      <c r="F106">
        <v>0</v>
      </c>
      <c r="G106">
        <v>37.5</v>
      </c>
      <c r="H106">
        <v>0</v>
      </c>
      <c r="I106">
        <v>126.37</v>
      </c>
      <c r="J106">
        <f>SUM(Table911[[#This Row],[Wall ]:[Roof]])</f>
        <v>232.62</v>
      </c>
    </row>
    <row r="109" spans="1:10">
      <c r="A109" t="s">
        <v>44</v>
      </c>
      <c r="B109" t="s">
        <v>45</v>
      </c>
    </row>
    <row r="110" spans="1:10">
      <c r="A110">
        <v>1</v>
      </c>
      <c r="B110" t="s">
        <v>46</v>
      </c>
    </row>
    <row r="111" spans="1:10">
      <c r="A111">
        <v>2</v>
      </c>
      <c r="B111" t="s">
        <v>47</v>
      </c>
    </row>
    <row r="112" spans="1:10">
      <c r="A112">
        <v>3</v>
      </c>
      <c r="B112" t="s">
        <v>48</v>
      </c>
    </row>
    <row r="113" spans="1:2">
      <c r="A113">
        <v>4</v>
      </c>
      <c r="B113" s="49" t="s">
        <v>49</v>
      </c>
    </row>
    <row r="114" spans="1:2">
      <c r="A114">
        <v>5</v>
      </c>
      <c r="B114" t="s">
        <v>50</v>
      </c>
    </row>
  </sheetData>
  <hyperlinks>
    <hyperlink ref="W38" r:id="rId1" xr:uid="{00000000-0004-0000-0100-000000000000}"/>
    <hyperlink ref="B113" r:id="rId2" xr:uid="{00000000-0004-0000-0100-000001000000}"/>
  </hyperlinks>
  <pageMargins left="0.7" right="0.7" top="0.75" bottom="0.75" header="0.3" footer="0.3"/>
  <drawing r:id="rId3"/>
  <tableParts count="3">
    <tablePart r:id="rId4"/>
    <tablePart r:id="rId5"/>
    <tablePart r:id="rId6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BEEA3A-E283-0B47-9E89-3E718CEFCD88}">
  <dimension ref="A10:K12"/>
  <sheetViews>
    <sheetView zoomScale="111" workbookViewId="0">
      <selection activeCell="I8" sqref="I8"/>
    </sheetView>
  </sheetViews>
  <sheetFormatPr baseColWidth="10" defaultRowHeight="16"/>
  <sheetData>
    <row r="10" spans="1:11">
      <c r="K10" t="s">
        <v>1190</v>
      </c>
    </row>
    <row r="12" spans="1:11">
      <c r="A12" t="s">
        <v>1193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Z103"/>
  <sheetViews>
    <sheetView topLeftCell="AF1" zoomScale="86" workbookViewId="0">
      <selection activeCell="AH34" sqref="AH34"/>
    </sheetView>
  </sheetViews>
  <sheetFormatPr baseColWidth="10" defaultRowHeight="16"/>
  <cols>
    <col min="1" max="1" width="18.1640625" customWidth="1"/>
    <col min="2" max="2" width="11.83203125" customWidth="1"/>
    <col min="3" max="3" width="11.33203125" customWidth="1"/>
    <col min="4" max="4" width="14.1640625" customWidth="1"/>
    <col min="5" max="5" width="12.33203125" customWidth="1"/>
    <col min="8" max="8" width="18.1640625" customWidth="1"/>
    <col min="9" max="9" width="12.1640625" customWidth="1"/>
    <col min="10" max="10" width="11.33203125" customWidth="1"/>
    <col min="11" max="11" width="14" customWidth="1"/>
    <col min="12" max="12" width="12" customWidth="1"/>
    <col min="14" max="14" width="18.1640625" customWidth="1"/>
    <col min="15" max="15" width="12.1640625" customWidth="1"/>
    <col min="16" max="16" width="11.33203125" customWidth="1"/>
    <col min="17" max="17" width="14" customWidth="1"/>
    <col min="18" max="18" width="12" customWidth="1"/>
    <col min="27" max="27" width="18.1640625" customWidth="1"/>
    <col min="28" max="28" width="12.1640625" customWidth="1"/>
    <col min="29" max="29" width="11.33203125" customWidth="1"/>
    <col min="30" max="30" width="14" customWidth="1"/>
    <col min="31" max="37" width="12" customWidth="1"/>
  </cols>
  <sheetData>
    <row r="1" spans="1:51">
      <c r="A1" s="10" t="s">
        <v>63</v>
      </c>
      <c r="B1" s="11" t="s">
        <v>64</v>
      </c>
      <c r="C1" s="11" t="s">
        <v>65</v>
      </c>
      <c r="D1" s="11" t="s">
        <v>66</v>
      </c>
      <c r="E1" s="12" t="s">
        <v>67</v>
      </c>
      <c r="H1" s="10" t="s">
        <v>63</v>
      </c>
      <c r="I1" s="11" t="s">
        <v>64</v>
      </c>
      <c r="J1" s="11" t="s">
        <v>65</v>
      </c>
      <c r="K1" s="11" t="s">
        <v>66</v>
      </c>
      <c r="L1" s="12" t="s">
        <v>67</v>
      </c>
      <c r="N1" s="10" t="s">
        <v>63</v>
      </c>
      <c r="O1" s="11" t="s">
        <v>64</v>
      </c>
      <c r="P1" s="11" t="s">
        <v>65</v>
      </c>
      <c r="Q1" s="11" t="s">
        <v>66</v>
      </c>
      <c r="R1" s="12" t="s">
        <v>67</v>
      </c>
      <c r="S1" s="11" t="s">
        <v>68</v>
      </c>
      <c r="T1" s="11" t="s">
        <v>69</v>
      </c>
      <c r="U1" s="11" t="s">
        <v>70</v>
      </c>
      <c r="V1" s="11" t="s">
        <v>71</v>
      </c>
      <c r="W1" s="11" t="s">
        <v>72</v>
      </c>
      <c r="X1" s="11" t="s">
        <v>73</v>
      </c>
      <c r="Y1" s="11" t="s">
        <v>74</v>
      </c>
      <c r="AA1" s="10" t="s">
        <v>63</v>
      </c>
      <c r="AB1" s="11" t="s">
        <v>64</v>
      </c>
      <c r="AC1" s="11" t="s">
        <v>65</v>
      </c>
      <c r="AD1" s="11" t="s">
        <v>66</v>
      </c>
      <c r="AE1" s="12" t="s">
        <v>67</v>
      </c>
      <c r="AF1" s="11" t="s">
        <v>68</v>
      </c>
      <c r="AG1" s="11" t="s">
        <v>69</v>
      </c>
      <c r="AH1" s="11" t="s">
        <v>75</v>
      </c>
      <c r="AI1" s="11" t="s">
        <v>71</v>
      </c>
      <c r="AJ1" s="11" t="s">
        <v>72</v>
      </c>
      <c r="AK1" s="11" t="s">
        <v>73</v>
      </c>
      <c r="AL1" t="s">
        <v>76</v>
      </c>
      <c r="AM1" t="s">
        <v>77</v>
      </c>
      <c r="AT1" t="s">
        <v>78</v>
      </c>
    </row>
    <row r="2" spans="1:51" ht="17" customHeight="1">
      <c r="A2" s="8" t="s">
        <v>79</v>
      </c>
      <c r="B2" s="5">
        <v>20</v>
      </c>
      <c r="C2" s="6">
        <v>0.35555555555555562</v>
      </c>
      <c r="D2" s="6">
        <v>0.43958333333333333</v>
      </c>
      <c r="E2" s="9">
        <f t="shared" ref="E2:E33" si="0">D2-C2</f>
        <v>8.4027777777777701E-2</v>
      </c>
      <c r="H2" s="2" t="s">
        <v>79</v>
      </c>
      <c r="I2" s="2">
        <v>20</v>
      </c>
      <c r="J2" s="4"/>
      <c r="K2" s="4"/>
      <c r="L2" s="1">
        <f t="shared" ref="L2:L33" si="1">K2-J2</f>
        <v>0</v>
      </c>
      <c r="N2" s="5" t="s">
        <v>80</v>
      </c>
      <c r="O2" s="5" t="s">
        <v>81</v>
      </c>
      <c r="P2" s="6">
        <v>0.33055555555555549</v>
      </c>
      <c r="Q2" s="6">
        <v>0.35972222222222222</v>
      </c>
      <c r="R2" s="18">
        <f t="shared" ref="R2:R33" si="2">Q2-P2</f>
        <v>2.916666666666673E-2</v>
      </c>
      <c r="S2" s="1">
        <v>0.38541666666666669</v>
      </c>
      <c r="T2">
        <f t="shared" ref="T2:T33" si="3">_xlfn.RANK.AVG($Q2,$Q$2:$Q$65,0)</f>
        <v>64</v>
      </c>
      <c r="U2">
        <f t="shared" ref="U2:U33" si="4">_xlfn.RANK.AVG(R2,$R$2:$R$65,0)</f>
        <v>27</v>
      </c>
      <c r="V2">
        <f t="shared" ref="V2:V37" si="5">_xlfn.RANK.AVG($Q2,$Q$2:$Q$37,0)</f>
        <v>36</v>
      </c>
      <c r="W2">
        <f t="shared" ref="W2:W37" si="6">_xlfn.RANK.AVG($R2,$R$2:$R$37,0)</f>
        <v>14</v>
      </c>
      <c r="X2" s="1" t="e">
        <f>Table4[[#This Row],[Time Left]]-P1</f>
        <v>#VALUE!</v>
      </c>
      <c r="AA2" s="19" t="s">
        <v>82</v>
      </c>
      <c r="AB2" s="19" t="s">
        <v>83</v>
      </c>
      <c r="AC2" s="20">
        <v>0.35138888888888892</v>
      </c>
      <c r="AD2" s="20">
        <v>0.37847222222222221</v>
      </c>
      <c r="AE2" s="21">
        <f t="shared" ref="AE2:AE33" si="7">AD2-AC2</f>
        <v>2.7083333333333293E-2</v>
      </c>
      <c r="AF2" s="1">
        <v>0.38541666666666669</v>
      </c>
      <c r="AG2">
        <f t="shared" ref="AG2:AG33" si="8">_xlfn.RANK.AVG($AD2,$AD$2:$AD$66,0)</f>
        <v>65</v>
      </c>
      <c r="AH2">
        <f t="shared" ref="AH2:AH33" si="9">_xlfn.RANK.AVG($AE2,$AE$2:$AE$65,0)</f>
        <v>13.5</v>
      </c>
      <c r="AI2">
        <f t="shared" ref="AI2:AI37" si="10">_xlfn.RANK.AVG($AD2,$AD$2:$AD$37,0)</f>
        <v>36</v>
      </c>
      <c r="AJ2">
        <f t="shared" ref="AJ2:AJ37" si="11">_xlfn.RANK.AVG($AE2,$AE$2:$AE$37,0)</f>
        <v>7.5</v>
      </c>
      <c r="AK2" s="36" t="e">
        <f>Table5[[#This Row],[Time Left]]-AC1</f>
        <v>#VALUE!</v>
      </c>
      <c r="AM2" t="s">
        <v>84</v>
      </c>
      <c r="AN2" t="s">
        <v>85</v>
      </c>
      <c r="AO2" t="s">
        <v>86</v>
      </c>
      <c r="AP2" t="s">
        <v>87</v>
      </c>
      <c r="AQ2" t="s">
        <v>88</v>
      </c>
      <c r="AR2" t="s">
        <v>89</v>
      </c>
      <c r="AT2" t="s">
        <v>84</v>
      </c>
      <c r="AU2" t="s">
        <v>90</v>
      </c>
      <c r="AV2" t="s">
        <v>86</v>
      </c>
      <c r="AW2" t="s">
        <v>87</v>
      </c>
      <c r="AX2" t="s">
        <v>88</v>
      </c>
      <c r="AY2" t="s">
        <v>91</v>
      </c>
    </row>
    <row r="3" spans="1:51" ht="17" customHeight="1">
      <c r="A3" s="8" t="s">
        <v>92</v>
      </c>
      <c r="B3" s="5">
        <v>20</v>
      </c>
      <c r="C3" s="6">
        <v>0.39791666666666659</v>
      </c>
      <c r="D3" s="6">
        <v>0.47361111111111109</v>
      </c>
      <c r="E3" s="9">
        <f t="shared" si="0"/>
        <v>7.5694444444444509E-2</v>
      </c>
      <c r="H3" s="2" t="s">
        <v>93</v>
      </c>
      <c r="I3" s="2">
        <v>22</v>
      </c>
      <c r="J3" s="4"/>
      <c r="K3" s="4"/>
      <c r="L3" s="1">
        <f t="shared" si="1"/>
        <v>0</v>
      </c>
      <c r="N3" s="19" t="s">
        <v>94</v>
      </c>
      <c r="O3" s="19" t="s">
        <v>81</v>
      </c>
      <c r="P3" s="20">
        <v>0.33888888888888891</v>
      </c>
      <c r="Q3" s="20">
        <v>0.36875000000000002</v>
      </c>
      <c r="R3" s="21">
        <f t="shared" si="2"/>
        <v>2.9861111111111116E-2</v>
      </c>
      <c r="S3" s="1">
        <v>0.38541666666666669</v>
      </c>
      <c r="T3">
        <f t="shared" si="3"/>
        <v>63</v>
      </c>
      <c r="U3">
        <f t="shared" si="4"/>
        <v>21.5</v>
      </c>
      <c r="V3">
        <f t="shared" si="5"/>
        <v>35</v>
      </c>
      <c r="W3">
        <f t="shared" si="6"/>
        <v>9.5</v>
      </c>
      <c r="X3" s="1">
        <f>Table4[[#This Row],[Time Left]]-P2</f>
        <v>8.3333333333334147E-3</v>
      </c>
      <c r="Y3" s="72">
        <f>AVERAGE(X3:X65)</f>
        <v>4.5922939068100367E-3</v>
      </c>
      <c r="AA3" s="5" t="s">
        <v>95</v>
      </c>
      <c r="AB3" s="5" t="s">
        <v>83</v>
      </c>
      <c r="AC3" s="6">
        <v>0.35486111111111113</v>
      </c>
      <c r="AD3" s="6">
        <v>0.38055555555555548</v>
      </c>
      <c r="AE3" s="18">
        <f t="shared" si="7"/>
        <v>2.5694444444444353E-2</v>
      </c>
      <c r="AF3" s="1">
        <v>0.38541666666666669</v>
      </c>
      <c r="AG3">
        <f t="shared" si="8"/>
        <v>64</v>
      </c>
      <c r="AH3">
        <f t="shared" si="9"/>
        <v>31</v>
      </c>
      <c r="AI3">
        <f t="shared" si="10"/>
        <v>35</v>
      </c>
      <c r="AJ3">
        <f t="shared" si="11"/>
        <v>17</v>
      </c>
      <c r="AK3" s="1">
        <f>Table5[[#This Row],[Time Left]]-AC2</f>
        <v>3.4722222222222099E-3</v>
      </c>
      <c r="AL3" s="1">
        <v>0.38541666666666669</v>
      </c>
      <c r="AM3" s="1">
        <f>AVERAGE($R2:$R6)</f>
        <v>2.749999999999999E-2</v>
      </c>
      <c r="AN3" s="1">
        <f>MIN($R2:$R6)</f>
        <v>2.2222222222222199E-2</v>
      </c>
      <c r="AO3" s="1">
        <f>_xlfn.QUARTILE.INC($R2:$R6,1)</f>
        <v>2.5694444444444409E-2</v>
      </c>
      <c r="AP3" s="1">
        <f>MEDIAN($R2:$R6)</f>
        <v>2.916666666666673E-2</v>
      </c>
      <c r="AQ3" s="1">
        <f>_xlfn.QUARTILE.INC($R2:$R6,3)</f>
        <v>2.9861111111111116E-2</v>
      </c>
      <c r="AR3" s="1">
        <f>MAX($R2:$R6)</f>
        <v>3.0555555555555503E-2</v>
      </c>
      <c r="AS3" s="1"/>
      <c r="AT3" s="1">
        <f>AVERAGE($AE2:$AE4)</f>
        <v>2.6620370370370312E-2</v>
      </c>
      <c r="AU3" s="1">
        <f>_xlfn.QUARTILE.INC($AE2:$AE4,0)</f>
        <v>2.5694444444444353E-2</v>
      </c>
      <c r="AV3" s="1">
        <f>_xlfn.QUARTILE.INC($AE2:$AE4,1)</f>
        <v>2.6388888888888823E-2</v>
      </c>
      <c r="AW3" s="1">
        <f>_xlfn.QUARTILE.INC($AE2:$AE4,2)</f>
        <v>2.7083333333333293E-2</v>
      </c>
      <c r="AX3" s="1">
        <f>_xlfn.QUARTILE.INC($AE2:$AE4,3)</f>
        <v>2.7083333333333293E-2</v>
      </c>
      <c r="AY3" s="1">
        <f>_xlfn.QUARTILE.INC($AE2:$AE4,4)</f>
        <v>2.7083333333333293E-2</v>
      </c>
    </row>
    <row r="4" spans="1:51" ht="17" customHeight="1">
      <c r="A4" s="8" t="s">
        <v>96</v>
      </c>
      <c r="B4" s="5">
        <v>20</v>
      </c>
      <c r="C4" s="6">
        <v>0.44097222222222221</v>
      </c>
      <c r="D4" s="7"/>
      <c r="E4" s="9">
        <f t="shared" si="0"/>
        <v>-0.44097222222222221</v>
      </c>
      <c r="H4" s="2" t="s">
        <v>97</v>
      </c>
      <c r="I4" s="2" t="s">
        <v>81</v>
      </c>
      <c r="J4" s="3">
        <v>0.59375</v>
      </c>
      <c r="K4" s="3">
        <v>0.62222222222222223</v>
      </c>
      <c r="L4" s="1">
        <f t="shared" si="1"/>
        <v>2.8472222222222232E-2</v>
      </c>
      <c r="N4" s="19" t="s">
        <v>97</v>
      </c>
      <c r="O4" s="19" t="s">
        <v>81</v>
      </c>
      <c r="P4" s="20">
        <v>0.35208333333333341</v>
      </c>
      <c r="Q4" s="20">
        <v>0.37777777777777782</v>
      </c>
      <c r="R4" s="21">
        <f t="shared" si="2"/>
        <v>2.5694444444444409E-2</v>
      </c>
      <c r="S4" s="1">
        <v>0.38541666666666669</v>
      </c>
      <c r="T4">
        <f t="shared" si="3"/>
        <v>62</v>
      </c>
      <c r="U4">
        <f t="shared" si="4"/>
        <v>55</v>
      </c>
      <c r="V4">
        <f t="shared" si="5"/>
        <v>34</v>
      </c>
      <c r="W4">
        <f t="shared" si="6"/>
        <v>28</v>
      </c>
      <c r="X4" s="1">
        <f>Table4[[#This Row],[Time Left]]-P3</f>
        <v>1.3194444444444509E-2</v>
      </c>
      <c r="AA4" s="19" t="s">
        <v>98</v>
      </c>
      <c r="AB4" s="19" t="s">
        <v>83</v>
      </c>
      <c r="AC4" s="20">
        <v>0.3576388888888889</v>
      </c>
      <c r="AD4" s="20">
        <v>0.38472222222222219</v>
      </c>
      <c r="AE4" s="21">
        <f t="shared" si="7"/>
        <v>2.7083333333333293E-2</v>
      </c>
      <c r="AF4" s="1">
        <v>0.38541666666666669</v>
      </c>
      <c r="AG4">
        <f t="shared" si="8"/>
        <v>63</v>
      </c>
      <c r="AH4">
        <f t="shared" si="9"/>
        <v>13.5</v>
      </c>
      <c r="AI4">
        <f t="shared" si="10"/>
        <v>34</v>
      </c>
      <c r="AJ4">
        <f t="shared" si="11"/>
        <v>7.5</v>
      </c>
      <c r="AK4" s="36">
        <f>Table5[[#This Row],[Time Left]]-AC3</f>
        <v>2.7777777777777679E-3</v>
      </c>
      <c r="AL4" s="1">
        <v>0.42708333333333331</v>
      </c>
      <c r="AM4" s="1">
        <f>AVERAGE($R7:$R17)</f>
        <v>2.7272727272727251E-2</v>
      </c>
      <c r="AN4" s="1">
        <f>MIN($R7:$R17)</f>
        <v>2.2222222222222199E-2</v>
      </c>
      <c r="AO4" s="1">
        <f>_xlfn.QUARTILE.INC($R7:$R17,1)</f>
        <v>2.5347222222222215E-2</v>
      </c>
      <c r="AP4" s="1">
        <f>MEDIAN($R7:$R17)</f>
        <v>2.9166666666666563E-2</v>
      </c>
      <c r="AQ4" s="1">
        <f>_xlfn.QUARTILE.INC($R7:$R17,3)</f>
        <v>2.9513888888888867E-2</v>
      </c>
      <c r="AR4" s="1">
        <f>MAX($R7:$R17)</f>
        <v>2.9861111111111116E-2</v>
      </c>
      <c r="AS4" s="1"/>
      <c r="AT4" s="1">
        <f>AVERAGE($AE5:$AE18)</f>
        <v>2.5595238095238098E-2</v>
      </c>
      <c r="AU4" s="1">
        <f>_xlfn.QUARTILE.INC($AE5:$AE18,0)</f>
        <v>2.2222222222222199E-2</v>
      </c>
      <c r="AV4" s="1">
        <f>_xlfn.QUARTILE.INC($AE5:$AE18,1)</f>
        <v>2.4479166666666677E-2</v>
      </c>
      <c r="AW4" s="1">
        <f>_xlfn.QUARTILE.INC($AE5:$AE18,2)</f>
        <v>2.5347222222222215E-2</v>
      </c>
      <c r="AX4" s="1">
        <f>_xlfn.QUARTILE.INC($AE5:$AE18,3)</f>
        <v>2.7083333333333293E-2</v>
      </c>
      <c r="AY4" s="1">
        <f>_xlfn.QUARTILE.INC($AE5:$AE18,4)</f>
        <v>2.8472222222222232E-2</v>
      </c>
    </row>
    <row r="5" spans="1:51" ht="17" customHeight="1">
      <c r="A5" s="8" t="s">
        <v>92</v>
      </c>
      <c r="B5" s="5">
        <v>20</v>
      </c>
      <c r="C5" s="6">
        <v>0.47569444444444442</v>
      </c>
      <c r="D5" s="7"/>
      <c r="E5" s="9">
        <f t="shared" si="0"/>
        <v>-0.47569444444444442</v>
      </c>
      <c r="H5" s="2" t="s">
        <v>94</v>
      </c>
      <c r="I5" s="2" t="s">
        <v>81</v>
      </c>
      <c r="J5" s="3">
        <v>0.59791666666666665</v>
      </c>
      <c r="K5" s="3">
        <v>0.54166666666666663</v>
      </c>
      <c r="L5" s="1">
        <f t="shared" si="1"/>
        <v>-5.6250000000000022E-2</v>
      </c>
      <c r="N5" s="19" t="s">
        <v>99</v>
      </c>
      <c r="O5" s="19" t="s">
        <v>81</v>
      </c>
      <c r="P5" s="20">
        <v>0.35902777777777778</v>
      </c>
      <c r="Q5" s="20">
        <v>0.38124999999999998</v>
      </c>
      <c r="R5" s="21">
        <f t="shared" si="2"/>
        <v>2.2222222222222199E-2</v>
      </c>
      <c r="S5" s="1">
        <v>0.38541666666666669</v>
      </c>
      <c r="T5">
        <f t="shared" si="3"/>
        <v>61</v>
      </c>
      <c r="U5">
        <f t="shared" si="4"/>
        <v>61.5</v>
      </c>
      <c r="V5">
        <f t="shared" si="5"/>
        <v>33</v>
      </c>
      <c r="W5">
        <f t="shared" si="6"/>
        <v>33.5</v>
      </c>
      <c r="X5" s="1">
        <f>Table4[[#This Row],[Time Left]]-P4</f>
        <v>6.9444444444443643E-3</v>
      </c>
      <c r="AA5" s="19" t="s">
        <v>100</v>
      </c>
      <c r="AB5" s="19" t="s">
        <v>83</v>
      </c>
      <c r="AC5" s="20">
        <v>0.36249999999999999</v>
      </c>
      <c r="AD5" s="20">
        <v>0.38750000000000001</v>
      </c>
      <c r="AE5" s="21">
        <f t="shared" si="7"/>
        <v>2.5000000000000022E-2</v>
      </c>
      <c r="AF5" s="36">
        <v>0.42708333333333331</v>
      </c>
      <c r="AG5" s="39">
        <f t="shared" si="8"/>
        <v>62</v>
      </c>
      <c r="AH5" s="39">
        <f t="shared" si="9"/>
        <v>33.5</v>
      </c>
      <c r="AI5">
        <f t="shared" si="10"/>
        <v>33</v>
      </c>
      <c r="AJ5">
        <f t="shared" si="11"/>
        <v>19</v>
      </c>
      <c r="AK5" s="36">
        <f>Table5[[#This Row],[Time Left]]-AC4</f>
        <v>4.8611111111110938E-3</v>
      </c>
      <c r="AL5" s="1">
        <v>0.46875</v>
      </c>
      <c r="AM5" s="1">
        <f>AVERAGE($R18:$R29)</f>
        <v>2.7835648148148148E-2</v>
      </c>
      <c r="AN5" s="1">
        <f>MIN($R18:$R29)</f>
        <v>1.7361111111111105E-2</v>
      </c>
      <c r="AO5" s="1">
        <f>_xlfn.QUARTILE.INC($R18:$R29,1)</f>
        <v>2.7083333333333376E-2</v>
      </c>
      <c r="AP5" s="1">
        <f>MEDIAN($R18:$R29)</f>
        <v>2.8125000000000011E-2</v>
      </c>
      <c r="AQ5" s="1">
        <f>_xlfn.QUARTILE.INC($R18:$R29,3)</f>
        <v>3.0555555555555503E-2</v>
      </c>
      <c r="AR5" s="1">
        <f>MAX($R18:$R29)</f>
        <v>3.472222222222221E-2</v>
      </c>
      <c r="AS5" s="1"/>
      <c r="AT5" s="1">
        <f>AVERAGE($AE19:$AE26)</f>
        <v>2.3871527777777776E-2</v>
      </c>
      <c r="AU5" s="1">
        <f>_xlfn.QUARTILE.INC($AE19:$AE26,0)</f>
        <v>2.0833333333333426E-2</v>
      </c>
      <c r="AV5" s="1">
        <f>_xlfn.QUARTILE.INC($AE19:$AE26,1)</f>
        <v>2.2916666666666696E-2</v>
      </c>
      <c r="AW5" s="1">
        <f>_xlfn.QUARTILE.INC($AE19:$AE26,2)</f>
        <v>2.4305555555555525E-2</v>
      </c>
      <c r="AX5" s="1">
        <f>_xlfn.QUARTILE.INC($AE19:$AE26,3)</f>
        <v>2.4999999999999967E-2</v>
      </c>
      <c r="AY5" s="1">
        <f>_xlfn.QUARTILE.INC($AE19:$AE26,4)</f>
        <v>2.5694444444444409E-2</v>
      </c>
    </row>
    <row r="6" spans="1:51" ht="17" customHeight="1">
      <c r="A6" s="8" t="s">
        <v>93</v>
      </c>
      <c r="B6" s="5">
        <v>22</v>
      </c>
      <c r="C6" s="6">
        <v>0.32847222222222222</v>
      </c>
      <c r="D6" s="6">
        <v>0.37777777777777782</v>
      </c>
      <c r="E6" s="9">
        <f t="shared" si="0"/>
        <v>4.9305555555555602E-2</v>
      </c>
      <c r="H6" s="2" t="s">
        <v>101</v>
      </c>
      <c r="I6" s="2" t="s">
        <v>81</v>
      </c>
      <c r="J6" s="3">
        <v>0.58680555555555558</v>
      </c>
      <c r="K6" s="4"/>
      <c r="L6" s="1">
        <f t="shared" si="1"/>
        <v>-0.58680555555555558</v>
      </c>
      <c r="N6" s="5" t="s">
        <v>102</v>
      </c>
      <c r="O6" s="5" t="s">
        <v>81</v>
      </c>
      <c r="P6" s="6">
        <v>0.35208333333333341</v>
      </c>
      <c r="Q6" s="6">
        <v>0.38263888888888892</v>
      </c>
      <c r="R6" s="18">
        <f t="shared" si="2"/>
        <v>3.0555555555555503E-2</v>
      </c>
      <c r="S6" s="1">
        <v>0.38541666666666669</v>
      </c>
      <c r="T6">
        <f t="shared" si="3"/>
        <v>60</v>
      </c>
      <c r="U6">
        <f t="shared" si="4"/>
        <v>16</v>
      </c>
      <c r="V6">
        <f t="shared" si="5"/>
        <v>32</v>
      </c>
      <c r="W6">
        <f t="shared" si="6"/>
        <v>5</v>
      </c>
      <c r="X6" s="1">
        <f>Table4[[#This Row],[Time Left]]-P5</f>
        <v>-6.9444444444443643E-3</v>
      </c>
      <c r="AA6" s="5" t="s">
        <v>103</v>
      </c>
      <c r="AB6" s="5" t="s">
        <v>83</v>
      </c>
      <c r="AC6" s="6">
        <v>0.3659722222222222</v>
      </c>
      <c r="AD6" s="6">
        <v>0.3888888888888889</v>
      </c>
      <c r="AE6" s="18">
        <f t="shared" si="7"/>
        <v>2.2916666666666696E-2</v>
      </c>
      <c r="AF6" s="36">
        <v>0.42708333333333331</v>
      </c>
      <c r="AG6" s="39">
        <f t="shared" si="8"/>
        <v>61</v>
      </c>
      <c r="AH6" s="39">
        <f t="shared" si="9"/>
        <v>52.5</v>
      </c>
      <c r="AI6">
        <f t="shared" si="10"/>
        <v>32</v>
      </c>
      <c r="AJ6">
        <f t="shared" si="11"/>
        <v>29.5</v>
      </c>
      <c r="AK6" s="1">
        <f>Table5[[#This Row],[Time Left]]-AC5</f>
        <v>3.4722222222222099E-3</v>
      </c>
      <c r="AL6" s="1">
        <v>0.51041666666666663</v>
      </c>
      <c r="AM6" s="1">
        <f>AVERAGE($R30:$R37)</f>
        <v>2.8732638888888856E-2</v>
      </c>
      <c r="AN6" s="1">
        <f>MIN($R30:$R37)</f>
        <v>2.2222222222222199E-2</v>
      </c>
      <c r="AO6" s="1">
        <f>_xlfn.QUARTILE.INC($R30:$R37,1)</f>
        <v>2.8472222222222218E-2</v>
      </c>
      <c r="AP6" s="1">
        <f>MEDIAN($R30:$R37)</f>
        <v>2.8819444444444425E-2</v>
      </c>
      <c r="AQ6" s="1">
        <f>_xlfn.QUARTILE.INC($R30:$R37,3)</f>
        <v>3.0034722222222157E-2</v>
      </c>
      <c r="AR6" s="1">
        <f>MAX($R30:$R37)</f>
        <v>3.2638888888888884E-2</v>
      </c>
      <c r="AS6" s="1"/>
      <c r="AT6" s="1">
        <f>AVERAGE($AE27:$AE37)</f>
        <v>2.4810606060606047E-2</v>
      </c>
      <c r="AU6" s="1">
        <f>_xlfn.QUARTILE.INC($AE27:$AE37,0)</f>
        <v>2.1527777777777701E-2</v>
      </c>
      <c r="AV6" s="1">
        <f>_xlfn.QUARTILE.INC($AE27:$AE37,1)</f>
        <v>2.2569444444444448E-2</v>
      </c>
      <c r="AW6" s="1">
        <f>_xlfn.QUARTILE.INC($AE27:$AE37,2)</f>
        <v>2.5694444444444409E-2</v>
      </c>
      <c r="AX6" s="1">
        <f>_xlfn.QUARTILE.INC($AE27:$AE37,3)</f>
        <v>2.6388888888888851E-2</v>
      </c>
      <c r="AY6" s="1">
        <f>_xlfn.QUARTILE.INC($AE27:$AE37,4)</f>
        <v>2.7777777777777679E-2</v>
      </c>
    </row>
    <row r="7" spans="1:51" ht="17" customHeight="1">
      <c r="A7" s="8" t="s">
        <v>93</v>
      </c>
      <c r="B7" s="5">
        <v>22</v>
      </c>
      <c r="C7" s="6">
        <v>0.38194444444444442</v>
      </c>
      <c r="D7" s="6">
        <v>0.42222222222222222</v>
      </c>
      <c r="E7" s="9">
        <f t="shared" si="0"/>
        <v>4.0277777777777801E-2</v>
      </c>
      <c r="H7" s="2" t="s">
        <v>99</v>
      </c>
      <c r="I7" s="2" t="s">
        <v>81</v>
      </c>
      <c r="J7" s="3">
        <v>0.60347222222222219</v>
      </c>
      <c r="K7" s="3">
        <v>0.63124999999999998</v>
      </c>
      <c r="L7" s="1">
        <f t="shared" si="1"/>
        <v>2.777777777777779E-2</v>
      </c>
      <c r="N7" s="5" t="s">
        <v>104</v>
      </c>
      <c r="O7" s="5" t="s">
        <v>81</v>
      </c>
      <c r="P7" s="6">
        <v>0.35625000000000001</v>
      </c>
      <c r="Q7" s="6">
        <v>0.38611111111111113</v>
      </c>
      <c r="R7" s="18">
        <f t="shared" si="2"/>
        <v>2.9861111111111116E-2</v>
      </c>
      <c r="S7" s="1">
        <v>0.42708333333333331</v>
      </c>
      <c r="T7">
        <f t="shared" si="3"/>
        <v>59</v>
      </c>
      <c r="U7">
        <f t="shared" si="4"/>
        <v>21.5</v>
      </c>
      <c r="V7">
        <f t="shared" si="5"/>
        <v>31</v>
      </c>
      <c r="W7">
        <f t="shared" si="6"/>
        <v>9.5</v>
      </c>
      <c r="X7" s="1">
        <f>Table4[[#This Row],[Time Left]]-P6</f>
        <v>4.1666666666665964E-3</v>
      </c>
      <c r="AA7" s="5" t="s">
        <v>105</v>
      </c>
      <c r="AB7" s="5" t="s">
        <v>83</v>
      </c>
      <c r="AC7" s="6">
        <v>0.3611111111111111</v>
      </c>
      <c r="AD7" s="6">
        <v>0.38958333333333328</v>
      </c>
      <c r="AE7" s="18">
        <f t="shared" si="7"/>
        <v>2.8472222222222177E-2</v>
      </c>
      <c r="AF7" s="36">
        <v>0.42708333333333331</v>
      </c>
      <c r="AG7" s="39">
        <f t="shared" si="8"/>
        <v>60</v>
      </c>
      <c r="AH7" s="39">
        <f t="shared" si="9"/>
        <v>4</v>
      </c>
      <c r="AI7">
        <f t="shared" si="10"/>
        <v>31</v>
      </c>
      <c r="AJ7">
        <f t="shared" si="11"/>
        <v>2</v>
      </c>
      <c r="AK7" s="1">
        <f>Table5[[#This Row],[Time Left]]-AC6</f>
        <v>-4.8611111111110938E-3</v>
      </c>
      <c r="AL7" s="1">
        <v>0.63541666666666663</v>
      </c>
      <c r="AM7" s="1">
        <f>AVERAGE($R38:$R40)</f>
        <v>2.777777777777779E-2</v>
      </c>
      <c r="AN7" s="1">
        <f>MIN($R38:$R40)</f>
        <v>2.7083333333333348E-2</v>
      </c>
      <c r="AO7" s="1">
        <f>MEDIAN($R38:$R40)</f>
        <v>2.777777777777779E-2</v>
      </c>
      <c r="AP7" s="1">
        <f>MEDIAN($R38:$R40)</f>
        <v>2.777777777777779E-2</v>
      </c>
      <c r="AQ7" s="1">
        <f>_xlfn.QUARTILE.INC($R38:$R40,3)</f>
        <v>2.8125000000000011E-2</v>
      </c>
      <c r="AR7" s="1">
        <f>MAX($R38:$R40)</f>
        <v>2.8472222222222232E-2</v>
      </c>
      <c r="AS7" s="1"/>
      <c r="AT7" s="1">
        <f>AVERAGE($AE38:$AE42)</f>
        <v>2.416666666666669E-2</v>
      </c>
      <c r="AU7" s="1">
        <f>_xlfn.QUARTILE.INC($AE38:$AE42,0)</f>
        <v>2.2222222222222254E-2</v>
      </c>
      <c r="AV7" s="1">
        <f>_xlfn.QUARTILE.INC($AE38:$AE42,1)</f>
        <v>2.2916666666666696E-2</v>
      </c>
      <c r="AW7" s="1">
        <f>_xlfn.QUARTILE.INC($AE38:$AE42,2)</f>
        <v>2.3611111111111138E-2</v>
      </c>
      <c r="AX7" s="1">
        <f>_xlfn.QUARTILE.INC($AE38:$AE42,3)</f>
        <v>2.5694444444444464E-2</v>
      </c>
      <c r="AY7" s="1">
        <f>_xlfn.QUARTILE.INC($AE38:$AE42,4)</f>
        <v>2.6388888888888906E-2</v>
      </c>
    </row>
    <row r="8" spans="1:51" ht="17" customHeight="1">
      <c r="A8" s="8" t="s">
        <v>93</v>
      </c>
      <c r="B8" s="5">
        <v>22</v>
      </c>
      <c r="C8" s="5" t="s">
        <v>106</v>
      </c>
      <c r="D8" s="6">
        <v>0.50416666666666665</v>
      </c>
      <c r="E8" s="9" t="e">
        <f t="shared" si="0"/>
        <v>#VALUE!</v>
      </c>
      <c r="H8" s="2" t="s">
        <v>107</v>
      </c>
      <c r="I8" s="2" t="s">
        <v>81</v>
      </c>
      <c r="J8" s="3">
        <v>0.60833333333333328</v>
      </c>
      <c r="K8" s="3">
        <v>0.63611111111111107</v>
      </c>
      <c r="L8" s="1">
        <f t="shared" si="1"/>
        <v>2.777777777777779E-2</v>
      </c>
      <c r="N8" s="5" t="s">
        <v>108</v>
      </c>
      <c r="O8" s="5" t="s">
        <v>81</v>
      </c>
      <c r="P8" s="6">
        <v>0.36805555555555558</v>
      </c>
      <c r="Q8" s="6">
        <v>0.39027777777777778</v>
      </c>
      <c r="R8" s="18">
        <f t="shared" si="2"/>
        <v>2.2222222222222199E-2</v>
      </c>
      <c r="S8" s="1">
        <v>0.42708333333333331</v>
      </c>
      <c r="T8">
        <f t="shared" si="3"/>
        <v>58</v>
      </c>
      <c r="U8">
        <f t="shared" si="4"/>
        <v>61.5</v>
      </c>
      <c r="V8">
        <f t="shared" si="5"/>
        <v>30</v>
      </c>
      <c r="W8">
        <f t="shared" si="6"/>
        <v>33.5</v>
      </c>
      <c r="X8" s="1">
        <f>Table4[[#This Row],[Time Left]]-P7</f>
        <v>1.1805555555555569E-2</v>
      </c>
      <c r="AA8" s="19" t="s">
        <v>109</v>
      </c>
      <c r="AB8" s="19" t="s">
        <v>83</v>
      </c>
      <c r="AC8" s="20">
        <v>0.36736111111111108</v>
      </c>
      <c r="AD8" s="20">
        <v>0.39583333333333331</v>
      </c>
      <c r="AE8" s="21">
        <f t="shared" si="7"/>
        <v>2.8472222222222232E-2</v>
      </c>
      <c r="AF8" s="36">
        <v>0.42708333333333331</v>
      </c>
      <c r="AG8" s="39">
        <f t="shared" si="8"/>
        <v>59</v>
      </c>
      <c r="AH8" s="39">
        <f t="shared" si="9"/>
        <v>2.5</v>
      </c>
      <c r="AI8">
        <f t="shared" si="10"/>
        <v>30</v>
      </c>
      <c r="AJ8">
        <f t="shared" si="11"/>
        <v>1</v>
      </c>
      <c r="AK8" s="36">
        <f>Table5[[#This Row],[Time Left]]-AC7</f>
        <v>6.2499999999999778E-3</v>
      </c>
      <c r="AL8" s="1">
        <v>0.67708333333333337</v>
      </c>
      <c r="AM8" s="1">
        <f>AVERAGE($R41:$R48)</f>
        <v>2.8472222222222218E-2</v>
      </c>
      <c r="AN8" s="1">
        <f>MIN($R41:$R48)</f>
        <v>2.5000000000000022E-2</v>
      </c>
      <c r="AO8" s="1">
        <f>_xlfn.QUARTILE.INC($R41:$R48,1)</f>
        <v>2.760416666666668E-2</v>
      </c>
      <c r="AP8" s="1">
        <f>MEDIAN($R41:$R48)</f>
        <v>2.777777777777779E-2</v>
      </c>
      <c r="AQ8" s="1">
        <f>_xlfn.QUARTILE.INC($R41:$R48,3)</f>
        <v>2.8472222222222149E-2</v>
      </c>
      <c r="AR8" s="1">
        <f>MAX($R41:$R48)</f>
        <v>3.5416666666666652E-2</v>
      </c>
      <c r="AS8" s="1"/>
      <c r="AT8" s="1">
        <f>AVERAGE($AE43:$AE50)</f>
        <v>2.3524305555555541E-2</v>
      </c>
      <c r="AU8" s="1">
        <f>_xlfn.QUARTILE.INC($AE43:$AE50,0)</f>
        <v>2.0833333333333259E-2</v>
      </c>
      <c r="AV8" s="1">
        <f>_xlfn.QUARTILE.INC($AE43:$AE50,1)</f>
        <v>2.2743055555555475E-2</v>
      </c>
      <c r="AW8" s="1">
        <f>_xlfn.QUARTILE.INC($AE43:$AE50,2)</f>
        <v>2.3263888888888917E-2</v>
      </c>
      <c r="AX8" s="1">
        <f>_xlfn.QUARTILE.INC($AE43:$AE50,3)</f>
        <v>2.4479166666666691E-2</v>
      </c>
      <c r="AY8" s="1">
        <f>_xlfn.QUARTILE.INC($AE43:$AE50,4)</f>
        <v>2.6388888888888906E-2</v>
      </c>
    </row>
    <row r="9" spans="1:51" ht="17" customHeight="1">
      <c r="A9" s="8" t="s">
        <v>93</v>
      </c>
      <c r="B9" s="5">
        <v>22</v>
      </c>
      <c r="C9" s="7"/>
      <c r="D9" s="7"/>
      <c r="E9" s="9">
        <f t="shared" si="0"/>
        <v>0</v>
      </c>
      <c r="H9" s="2" t="s">
        <v>108</v>
      </c>
      <c r="I9" s="2" t="s">
        <v>81</v>
      </c>
      <c r="J9" s="3">
        <v>0.61388888888888893</v>
      </c>
      <c r="K9" s="3">
        <v>0.64236111111111116</v>
      </c>
      <c r="L9" s="1">
        <f t="shared" si="1"/>
        <v>2.8472222222222232E-2</v>
      </c>
      <c r="N9" s="5" t="s">
        <v>110</v>
      </c>
      <c r="O9" s="5" t="s">
        <v>81</v>
      </c>
      <c r="P9" s="6">
        <v>0.36249999999999999</v>
      </c>
      <c r="Q9" s="6">
        <v>0.3923611111111111</v>
      </c>
      <c r="R9" s="18">
        <f t="shared" si="2"/>
        <v>2.9861111111111116E-2</v>
      </c>
      <c r="S9" s="1">
        <v>0.42708333333333331</v>
      </c>
      <c r="T9">
        <f t="shared" si="3"/>
        <v>57</v>
      </c>
      <c r="U9">
        <f t="shared" si="4"/>
        <v>21.5</v>
      </c>
      <c r="V9">
        <f t="shared" si="5"/>
        <v>29</v>
      </c>
      <c r="W9">
        <f t="shared" si="6"/>
        <v>9.5</v>
      </c>
      <c r="X9" s="1">
        <f>Table4[[#This Row],[Time Left]]-P8</f>
        <v>-5.5555555555555913E-3</v>
      </c>
      <c r="AA9" s="5" t="s">
        <v>111</v>
      </c>
      <c r="AB9" s="5" t="s">
        <v>83</v>
      </c>
      <c r="AC9" s="6">
        <v>0.375</v>
      </c>
      <c r="AD9" s="6">
        <v>0.4</v>
      </c>
      <c r="AE9" s="18">
        <f t="shared" si="7"/>
        <v>2.5000000000000022E-2</v>
      </c>
      <c r="AF9" s="36">
        <v>0.42708333333333331</v>
      </c>
      <c r="AG9" s="39">
        <f t="shared" si="8"/>
        <v>58</v>
      </c>
      <c r="AH9" s="39">
        <f t="shared" si="9"/>
        <v>33.5</v>
      </c>
      <c r="AI9">
        <f t="shared" si="10"/>
        <v>29</v>
      </c>
      <c r="AJ9">
        <f t="shared" si="11"/>
        <v>19</v>
      </c>
      <c r="AK9" s="1">
        <f>Table5[[#This Row],[Time Left]]-AC8</f>
        <v>7.6388888888889173E-3</v>
      </c>
      <c r="AL9" s="1">
        <v>0.71875</v>
      </c>
      <c r="AM9" s="1">
        <f>AVERAGE($R49:$R57)</f>
        <v>3.0401234567901239E-2</v>
      </c>
      <c r="AN9" s="1">
        <f>MIN($R49:$R57)</f>
        <v>2.8472222222222232E-2</v>
      </c>
      <c r="AO9" s="1">
        <f>_xlfn.QUARTILE.INC($R49:$R57,1)</f>
        <v>2.9166666666666674E-2</v>
      </c>
      <c r="AP9" s="1">
        <f>MEDIAN($R49:$R57)</f>
        <v>2.9861111111111116E-2</v>
      </c>
      <c r="AQ9" s="1">
        <f>_xlfn.QUARTILE.INC($R49:$R57,3)</f>
        <v>3.125E-2</v>
      </c>
      <c r="AR9" s="1">
        <f>MAX($R49:$R57)</f>
        <v>3.3333333333333326E-2</v>
      </c>
      <c r="AS9" s="1"/>
      <c r="AT9" s="1">
        <f>AVERAGE($AE51:$AE58)</f>
        <v>2.6388888888888906E-2</v>
      </c>
      <c r="AU9" s="1">
        <f>_xlfn.QUARTILE.INC($AE51:$AE58,0)</f>
        <v>2.430555555555558E-2</v>
      </c>
      <c r="AV9" s="1">
        <f>_xlfn.QUARTILE.INC($AE51:$AE58,1)</f>
        <v>2.430555555555558E-2</v>
      </c>
      <c r="AW9" s="1">
        <f>_xlfn.QUARTILE.INC($AE51:$AE58,2)</f>
        <v>2.6388888888888906E-2</v>
      </c>
      <c r="AX9" s="1">
        <f>_xlfn.QUARTILE.INC($AE51:$AE58,3)</f>
        <v>2.7083333333333348E-2</v>
      </c>
      <c r="AY9" s="1">
        <f>_xlfn.QUARTILE.INC($AE51:$AE58,4)</f>
        <v>3.125E-2</v>
      </c>
    </row>
    <row r="10" spans="1:51" ht="17" customHeight="1">
      <c r="A10" s="8" t="s">
        <v>82</v>
      </c>
      <c r="B10" s="5" t="s">
        <v>112</v>
      </c>
      <c r="C10" s="6">
        <v>0.41111111111111109</v>
      </c>
      <c r="D10" s="6">
        <v>0.46875</v>
      </c>
      <c r="E10" s="9">
        <f t="shared" si="0"/>
        <v>5.7638888888888906E-2</v>
      </c>
      <c r="H10" s="2" t="s">
        <v>113</v>
      </c>
      <c r="I10" s="2" t="s">
        <v>81</v>
      </c>
      <c r="J10" s="3">
        <v>0.62083333333333335</v>
      </c>
      <c r="K10" s="3">
        <v>0.64583333333333337</v>
      </c>
      <c r="L10" s="1">
        <f t="shared" si="1"/>
        <v>2.5000000000000022E-2</v>
      </c>
      <c r="N10" s="19" t="s">
        <v>113</v>
      </c>
      <c r="O10" s="19" t="s">
        <v>81</v>
      </c>
      <c r="P10" s="20">
        <v>0.37013888888888891</v>
      </c>
      <c r="Q10" s="20">
        <v>0.39583333333333331</v>
      </c>
      <c r="R10" s="21">
        <f t="shared" si="2"/>
        <v>2.5694444444444409E-2</v>
      </c>
      <c r="S10" s="1">
        <v>0.42708333333333331</v>
      </c>
      <c r="T10">
        <f t="shared" si="3"/>
        <v>56</v>
      </c>
      <c r="U10">
        <f t="shared" si="4"/>
        <v>55</v>
      </c>
      <c r="V10">
        <f t="shared" si="5"/>
        <v>28</v>
      </c>
      <c r="W10">
        <f t="shared" si="6"/>
        <v>28</v>
      </c>
      <c r="X10" s="1">
        <f>Table4[[#This Row],[Time Left]]-P9</f>
        <v>7.6388888888889173E-3</v>
      </c>
      <c r="AA10" s="19" t="s">
        <v>114</v>
      </c>
      <c r="AB10" s="19" t="s">
        <v>83</v>
      </c>
      <c r="AC10" s="20">
        <v>0.37986111111111109</v>
      </c>
      <c r="AD10" s="20">
        <v>0.40416666666666667</v>
      </c>
      <c r="AE10" s="21">
        <f t="shared" si="7"/>
        <v>2.430555555555558E-2</v>
      </c>
      <c r="AF10" s="36">
        <v>0.42708333333333331</v>
      </c>
      <c r="AG10" s="39">
        <f t="shared" si="8"/>
        <v>57</v>
      </c>
      <c r="AH10" s="39">
        <f t="shared" si="9"/>
        <v>42</v>
      </c>
      <c r="AI10">
        <f t="shared" si="10"/>
        <v>28</v>
      </c>
      <c r="AJ10">
        <f t="shared" si="11"/>
        <v>25</v>
      </c>
      <c r="AK10" s="36">
        <f>Table5[[#This Row],[Time Left]]-AC9</f>
        <v>4.8611111111110938E-3</v>
      </c>
      <c r="AL10" s="1">
        <v>0.76041666666666663</v>
      </c>
      <c r="AM10" s="1">
        <f>AVERAGE($R58:$R65)</f>
        <v>3.0989583333333334E-2</v>
      </c>
      <c r="AN10" s="1">
        <f>MIN($R58:$R65)</f>
        <v>2.9166666666666674E-2</v>
      </c>
      <c r="AO10" s="1">
        <f>_xlfn.QUARTILE.INC($R58:$R65,1)</f>
        <v>3.0381944444444448E-2</v>
      </c>
      <c r="AP10" s="1">
        <f>MEDIAN($R58:$R65)</f>
        <v>3.125E-2</v>
      </c>
      <c r="AQ10" s="1">
        <f>_xlfn.QUARTILE.INC($R58:$R65,3)</f>
        <v>3.142361111111111E-2</v>
      </c>
      <c r="AR10" s="1">
        <f>MAX($R58:$R65)</f>
        <v>3.2638888888888884E-2</v>
      </c>
      <c r="AS10" s="1"/>
      <c r="AT10" s="1">
        <f>AVERAGE($AE59:$AE66)</f>
        <v>2.6388888888888906E-2</v>
      </c>
      <c r="AU10" s="1">
        <f>_xlfn.QUARTILE.INC($AE59:$AE66,0)</f>
        <v>2.3611111111111138E-2</v>
      </c>
      <c r="AV10" s="1">
        <f>_xlfn.QUARTILE.INC($AE59:$AE66,1)</f>
        <v>2.6215277777777796E-2</v>
      </c>
      <c r="AW10" s="1">
        <f>_xlfn.QUARTILE.INC($AE59:$AE66,2)</f>
        <v>2.6388888888888906E-2</v>
      </c>
      <c r="AX10" s="1">
        <f>_xlfn.QUARTILE.INC($AE59:$AE66,3)</f>
        <v>2.7083333333333348E-2</v>
      </c>
      <c r="AY10" s="1">
        <f>_xlfn.QUARTILE.INC($AE59:$AE66,4)</f>
        <v>2.8472222222222232E-2</v>
      </c>
    </row>
    <row r="11" spans="1:51" ht="17" customHeight="1">
      <c r="A11" s="8" t="s">
        <v>80</v>
      </c>
      <c r="B11" s="5" t="s">
        <v>81</v>
      </c>
      <c r="C11" s="6">
        <v>0.33055555555555549</v>
      </c>
      <c r="D11" s="6">
        <v>0.35972222222222222</v>
      </c>
      <c r="E11" s="9">
        <f t="shared" si="0"/>
        <v>2.916666666666673E-2</v>
      </c>
      <c r="H11" s="2" t="s">
        <v>104</v>
      </c>
      <c r="I11" s="2" t="s">
        <v>81</v>
      </c>
      <c r="J11" s="3">
        <v>0.62152777777777779</v>
      </c>
      <c r="K11" s="3">
        <v>0.65694444444444444</v>
      </c>
      <c r="L11" s="1">
        <f t="shared" si="1"/>
        <v>3.5416666666666652E-2</v>
      </c>
      <c r="N11" s="19" t="s">
        <v>115</v>
      </c>
      <c r="O11" s="19" t="s">
        <v>81</v>
      </c>
      <c r="P11" s="20">
        <v>0.36944444444444452</v>
      </c>
      <c r="Q11" s="20">
        <v>0.39861111111111108</v>
      </c>
      <c r="R11" s="21">
        <f t="shared" si="2"/>
        <v>2.9166666666666563E-2</v>
      </c>
      <c r="S11" s="1">
        <v>0.42708333333333331</v>
      </c>
      <c r="T11">
        <f t="shared" si="3"/>
        <v>55</v>
      </c>
      <c r="U11">
        <f t="shared" si="4"/>
        <v>33.5</v>
      </c>
      <c r="V11">
        <f t="shared" si="5"/>
        <v>27</v>
      </c>
      <c r="W11">
        <f t="shared" si="6"/>
        <v>17.5</v>
      </c>
      <c r="X11" s="1">
        <f>Table4[[#This Row],[Time Left]]-P10</f>
        <v>-6.9444444444438647E-4</v>
      </c>
      <c r="AA11" s="5" t="s">
        <v>116</v>
      </c>
      <c r="AB11" s="5" t="s">
        <v>83</v>
      </c>
      <c r="AC11" s="6">
        <v>0.38124999999999998</v>
      </c>
      <c r="AD11" s="6">
        <v>0.40763888888888888</v>
      </c>
      <c r="AE11" s="18">
        <f t="shared" si="7"/>
        <v>2.6388888888888906E-2</v>
      </c>
      <c r="AF11" s="36">
        <v>0.42708333333333331</v>
      </c>
      <c r="AG11" s="39">
        <f t="shared" si="8"/>
        <v>56</v>
      </c>
      <c r="AH11" s="39">
        <f t="shared" si="9"/>
        <v>19.5</v>
      </c>
      <c r="AI11">
        <f t="shared" si="10"/>
        <v>27</v>
      </c>
      <c r="AJ11">
        <f t="shared" si="11"/>
        <v>10.5</v>
      </c>
      <c r="AK11" s="1">
        <f>Table5[[#This Row],[Time Left]]-AC10</f>
        <v>1.388888888888884E-3</v>
      </c>
      <c r="AL11" t="s">
        <v>117</v>
      </c>
      <c r="AM11" s="1">
        <f>AVERAGE($R2:$R65)</f>
        <v>2.8656684027777761E-2</v>
      </c>
      <c r="AN11" s="1">
        <f>MIN($R2:$R65)</f>
        <v>1.7361111111111105E-2</v>
      </c>
      <c r="AO11" s="1">
        <f>_xlfn.QUARTILE.INC($R2:$R65,1)</f>
        <v>2.777777777777779E-2</v>
      </c>
      <c r="AP11" s="1">
        <f>MEDIAN($R2:$R65)</f>
        <v>2.9166666666666591E-2</v>
      </c>
      <c r="AQ11" s="1">
        <f>_xlfn.QUARTILE.INC($R2:$R65,3)</f>
        <v>3.0555555555555503E-2</v>
      </c>
      <c r="AR11" s="1">
        <f>MAX($R2:$R65)</f>
        <v>3.5416666666666652E-2</v>
      </c>
      <c r="AT11" s="1">
        <f>AVERAGE($AE2:$AE66)</f>
        <v>2.5128205128205135E-2</v>
      </c>
      <c r="AU11" s="1">
        <f>_xlfn.QUARTILE.INC($AE2:$AE66,0)</f>
        <v>2.0833333333333259E-2</v>
      </c>
      <c r="AV11" s="1">
        <f>_xlfn.QUARTILE.INC($AE2:$AE66,1)</f>
        <v>2.3611111111111138E-2</v>
      </c>
      <c r="AW11" s="1">
        <f>_xlfn.QUARTILE.INC($AE2:$AE66,2)</f>
        <v>2.5000000000000022E-2</v>
      </c>
      <c r="AX11" s="1">
        <f>_xlfn.QUARTILE.INC($AE2:$AE66,3)</f>
        <v>2.6388888888888906E-2</v>
      </c>
      <c r="AY11" s="1">
        <f>_xlfn.QUARTILE.INC($AE2:$AE66,4)</f>
        <v>3.125E-2</v>
      </c>
    </row>
    <row r="12" spans="1:51" ht="17" customHeight="1">
      <c r="A12" s="8" t="s">
        <v>94</v>
      </c>
      <c r="B12" s="5" t="s">
        <v>81</v>
      </c>
      <c r="C12" s="6">
        <v>0.33888888888888891</v>
      </c>
      <c r="D12" s="6">
        <v>0.36875000000000002</v>
      </c>
      <c r="E12" s="9">
        <f t="shared" si="0"/>
        <v>2.9861111111111116E-2</v>
      </c>
      <c r="H12" s="2" t="s">
        <v>82</v>
      </c>
      <c r="I12" s="2" t="s">
        <v>81</v>
      </c>
      <c r="J12" s="3">
        <v>0.62847222222222221</v>
      </c>
      <c r="K12" s="3">
        <v>0.65625</v>
      </c>
      <c r="L12" s="1">
        <f t="shared" si="1"/>
        <v>2.777777777777779E-2</v>
      </c>
      <c r="N12" s="5" t="s">
        <v>94</v>
      </c>
      <c r="O12" s="5" t="s">
        <v>81</v>
      </c>
      <c r="P12" s="6">
        <v>0.37291666666666667</v>
      </c>
      <c r="Q12" s="6">
        <v>0.40208333333333329</v>
      </c>
      <c r="R12" s="18">
        <f t="shared" si="2"/>
        <v>2.9166666666666619E-2</v>
      </c>
      <c r="S12" s="1">
        <v>0.42708333333333331</v>
      </c>
      <c r="T12">
        <f t="shared" si="3"/>
        <v>54</v>
      </c>
      <c r="U12">
        <f t="shared" si="4"/>
        <v>32</v>
      </c>
      <c r="V12">
        <f t="shared" si="5"/>
        <v>26</v>
      </c>
      <c r="W12">
        <f t="shared" si="6"/>
        <v>16</v>
      </c>
      <c r="X12" s="1">
        <f>Table4[[#This Row],[Time Left]]-P11</f>
        <v>3.4722222222221544E-3</v>
      </c>
      <c r="AA12" s="19" t="s">
        <v>82</v>
      </c>
      <c r="AB12" s="19" t="s">
        <v>83</v>
      </c>
      <c r="AC12" s="20">
        <v>0.38263888888888892</v>
      </c>
      <c r="AD12" s="20">
        <v>0.40833333333333333</v>
      </c>
      <c r="AE12" s="21">
        <f t="shared" si="7"/>
        <v>2.5694444444444409E-2</v>
      </c>
      <c r="AF12" s="36">
        <v>0.42708333333333331</v>
      </c>
      <c r="AG12" s="39">
        <f t="shared" si="8"/>
        <v>55</v>
      </c>
      <c r="AH12" s="39">
        <f t="shared" si="9"/>
        <v>29</v>
      </c>
      <c r="AI12">
        <f t="shared" si="10"/>
        <v>26</v>
      </c>
      <c r="AJ12">
        <f t="shared" si="11"/>
        <v>15</v>
      </c>
      <c r="AK12" s="36">
        <f>Table5[[#This Row],[Time Left]]-AC11</f>
        <v>1.3888888888889395E-3</v>
      </c>
    </row>
    <row r="13" spans="1:51" ht="17" customHeight="1">
      <c r="A13" s="8" t="s">
        <v>102</v>
      </c>
      <c r="B13" s="5" t="s">
        <v>81</v>
      </c>
      <c r="C13" s="6">
        <v>0.35208333333333341</v>
      </c>
      <c r="D13" s="6">
        <v>0.38263888888888892</v>
      </c>
      <c r="E13" s="9">
        <f t="shared" si="0"/>
        <v>3.0555555555555503E-2</v>
      </c>
      <c r="H13" s="2" t="s">
        <v>97</v>
      </c>
      <c r="I13" s="2" t="s">
        <v>81</v>
      </c>
      <c r="J13" s="3">
        <v>0.6333333333333333</v>
      </c>
      <c r="K13" s="3">
        <v>0.66111111111111109</v>
      </c>
      <c r="L13" s="1">
        <f t="shared" si="1"/>
        <v>2.777777777777779E-2</v>
      </c>
      <c r="N13" s="5" t="s">
        <v>97</v>
      </c>
      <c r="O13" s="5" t="s">
        <v>81</v>
      </c>
      <c r="P13" s="6">
        <v>0.38194444444444442</v>
      </c>
      <c r="Q13" s="6">
        <v>0.40625</v>
      </c>
      <c r="R13" s="18">
        <f t="shared" si="2"/>
        <v>2.430555555555558E-2</v>
      </c>
      <c r="S13" s="1">
        <v>0.42708333333333331</v>
      </c>
      <c r="T13">
        <f t="shared" si="3"/>
        <v>53</v>
      </c>
      <c r="U13">
        <f t="shared" si="4"/>
        <v>59</v>
      </c>
      <c r="V13">
        <f t="shared" si="5"/>
        <v>25</v>
      </c>
      <c r="W13">
        <f t="shared" si="6"/>
        <v>31</v>
      </c>
      <c r="X13" s="1">
        <f>Table4[[#This Row],[Time Left]]-P12</f>
        <v>9.0277777777777457E-3</v>
      </c>
      <c r="AA13" s="5" t="s">
        <v>95</v>
      </c>
      <c r="AB13" s="5" t="s">
        <v>83</v>
      </c>
      <c r="AC13" s="6">
        <v>0.38541666666666669</v>
      </c>
      <c r="AD13" s="6">
        <v>0.41249999999999998</v>
      </c>
      <c r="AE13" s="18">
        <f t="shared" si="7"/>
        <v>2.7083333333333293E-2</v>
      </c>
      <c r="AF13" s="36">
        <v>0.42708333333333331</v>
      </c>
      <c r="AG13" s="39">
        <f t="shared" si="8"/>
        <v>54</v>
      </c>
      <c r="AH13" s="39">
        <f t="shared" si="9"/>
        <v>13.5</v>
      </c>
      <c r="AI13">
        <f t="shared" si="10"/>
        <v>25</v>
      </c>
      <c r="AJ13">
        <f t="shared" si="11"/>
        <v>7.5</v>
      </c>
      <c r="AK13" s="1">
        <f>Table5[[#This Row],[Time Left]]-AC12</f>
        <v>2.7777777777777679E-3</v>
      </c>
    </row>
    <row r="14" spans="1:51" ht="17" customHeight="1">
      <c r="A14" s="8" t="s">
        <v>97</v>
      </c>
      <c r="B14" s="5" t="s">
        <v>81</v>
      </c>
      <c r="C14" s="6">
        <v>0.35208333333333341</v>
      </c>
      <c r="D14" s="6">
        <v>0.37777777777777782</v>
      </c>
      <c r="E14" s="9">
        <f t="shared" si="0"/>
        <v>2.5694444444444409E-2</v>
      </c>
      <c r="H14" s="2" t="s">
        <v>118</v>
      </c>
      <c r="I14" s="2" t="s">
        <v>81</v>
      </c>
      <c r="J14" s="3">
        <v>0.63680555555555551</v>
      </c>
      <c r="K14" s="3">
        <v>0.66388888888888886</v>
      </c>
      <c r="L14" s="1">
        <f t="shared" si="1"/>
        <v>2.7083333333333348E-2</v>
      </c>
      <c r="N14" s="19" t="s">
        <v>107</v>
      </c>
      <c r="O14" s="19" t="s">
        <v>81</v>
      </c>
      <c r="P14" s="20">
        <v>0.37777777777777782</v>
      </c>
      <c r="Q14" s="20">
        <v>0.40763888888888888</v>
      </c>
      <c r="R14" s="21">
        <f t="shared" si="2"/>
        <v>2.9861111111111061E-2</v>
      </c>
      <c r="S14" s="1">
        <v>0.42708333333333331</v>
      </c>
      <c r="T14">
        <f t="shared" si="3"/>
        <v>52</v>
      </c>
      <c r="U14">
        <f t="shared" si="4"/>
        <v>25.5</v>
      </c>
      <c r="V14">
        <f t="shared" si="5"/>
        <v>24</v>
      </c>
      <c r="W14">
        <f t="shared" si="6"/>
        <v>12.5</v>
      </c>
      <c r="X14" s="1">
        <f>Table4[[#This Row],[Time Left]]-P13</f>
        <v>-4.1666666666665964E-3</v>
      </c>
      <c r="AA14" s="19" t="s">
        <v>98</v>
      </c>
      <c r="AB14" s="19" t="s">
        <v>83</v>
      </c>
      <c r="AC14" s="20">
        <v>0.38750000000000001</v>
      </c>
      <c r="AD14" s="20">
        <v>0.41458333333333341</v>
      </c>
      <c r="AE14" s="21">
        <f t="shared" si="7"/>
        <v>2.7083333333333404E-2</v>
      </c>
      <c r="AF14" s="36">
        <v>0.42708333333333331</v>
      </c>
      <c r="AG14" s="39">
        <f t="shared" si="8"/>
        <v>53</v>
      </c>
      <c r="AH14" s="39">
        <f t="shared" si="9"/>
        <v>6.5</v>
      </c>
      <c r="AI14">
        <f t="shared" si="10"/>
        <v>24</v>
      </c>
      <c r="AJ14">
        <f t="shared" si="11"/>
        <v>4.5</v>
      </c>
      <c r="AK14" s="36">
        <f>Table5[[#This Row],[Time Left]]-AC13</f>
        <v>2.0833333333333259E-3</v>
      </c>
    </row>
    <row r="15" spans="1:51" ht="17" customHeight="1">
      <c r="A15" s="8" t="s">
        <v>104</v>
      </c>
      <c r="B15" s="5" t="s">
        <v>81</v>
      </c>
      <c r="C15" s="6">
        <v>0.35625000000000001</v>
      </c>
      <c r="D15" s="6">
        <v>0.38611111111111113</v>
      </c>
      <c r="E15" s="9">
        <f t="shared" si="0"/>
        <v>2.9861111111111116E-2</v>
      </c>
      <c r="H15" s="2" t="s">
        <v>99</v>
      </c>
      <c r="I15" s="2" t="s">
        <v>81</v>
      </c>
      <c r="J15" s="3">
        <v>0.64236111111111116</v>
      </c>
      <c r="K15" s="3">
        <v>0.67083333333333328</v>
      </c>
      <c r="L15" s="1">
        <f t="shared" si="1"/>
        <v>2.8472222222222121E-2</v>
      </c>
      <c r="N15" s="19" t="s">
        <v>99</v>
      </c>
      <c r="O15" s="19" t="s">
        <v>81</v>
      </c>
      <c r="P15" s="20">
        <v>0.38819444444444451</v>
      </c>
      <c r="Q15" s="20">
        <v>0.41388888888888892</v>
      </c>
      <c r="R15" s="21">
        <f t="shared" si="2"/>
        <v>2.5694444444444409E-2</v>
      </c>
      <c r="S15" s="1">
        <v>0.42708333333333331</v>
      </c>
      <c r="T15">
        <f t="shared" si="3"/>
        <v>51</v>
      </c>
      <c r="U15">
        <f t="shared" si="4"/>
        <v>55</v>
      </c>
      <c r="V15">
        <f t="shared" si="5"/>
        <v>23</v>
      </c>
      <c r="W15">
        <f t="shared" si="6"/>
        <v>28</v>
      </c>
      <c r="X15" s="1">
        <f>Table4[[#This Row],[Time Left]]-P14</f>
        <v>1.0416666666666685E-2</v>
      </c>
      <c r="AA15" s="5" t="s">
        <v>100</v>
      </c>
      <c r="AB15" s="5" t="s">
        <v>83</v>
      </c>
      <c r="AC15" s="6">
        <v>0.39305555555555549</v>
      </c>
      <c r="AD15" s="6">
        <v>0.41666666666666669</v>
      </c>
      <c r="AE15" s="18">
        <f t="shared" si="7"/>
        <v>2.3611111111111194E-2</v>
      </c>
      <c r="AF15" s="36">
        <v>0.42708333333333331</v>
      </c>
      <c r="AG15" s="39">
        <f t="shared" si="8"/>
        <v>52</v>
      </c>
      <c r="AH15" s="39">
        <f t="shared" si="9"/>
        <v>45</v>
      </c>
      <c r="AI15">
        <f t="shared" si="10"/>
        <v>23</v>
      </c>
      <c r="AJ15">
        <f t="shared" si="11"/>
        <v>26</v>
      </c>
      <c r="AK15" s="1">
        <f>Table5[[#This Row],[Time Left]]-AC14</f>
        <v>5.5555555555554803E-3</v>
      </c>
    </row>
    <row r="16" spans="1:51" ht="17" customHeight="1">
      <c r="A16" s="8" t="s">
        <v>99</v>
      </c>
      <c r="B16" s="5" t="s">
        <v>81</v>
      </c>
      <c r="C16" s="6">
        <v>0.35902777777777778</v>
      </c>
      <c r="D16" s="6">
        <v>0.38124999999999998</v>
      </c>
      <c r="E16" s="9">
        <f t="shared" si="0"/>
        <v>2.2222222222222199E-2</v>
      </c>
      <c r="H16" s="2" t="s">
        <v>119</v>
      </c>
      <c r="I16" s="2" t="s">
        <v>81</v>
      </c>
      <c r="J16" s="3">
        <v>0.63680555555555551</v>
      </c>
      <c r="K16" s="4"/>
      <c r="L16" s="1">
        <f t="shared" si="1"/>
        <v>-0.63680555555555551</v>
      </c>
      <c r="N16" s="5" t="s">
        <v>102</v>
      </c>
      <c r="O16" s="5" t="s">
        <v>81</v>
      </c>
      <c r="P16" s="6">
        <v>0.38750000000000001</v>
      </c>
      <c r="Q16" s="6">
        <v>0.41666666666666669</v>
      </c>
      <c r="R16" s="18">
        <f t="shared" si="2"/>
        <v>2.9166666666666674E-2</v>
      </c>
      <c r="S16" s="1">
        <v>0.42708333333333331</v>
      </c>
      <c r="T16">
        <f t="shared" si="3"/>
        <v>50</v>
      </c>
      <c r="U16">
        <f t="shared" si="4"/>
        <v>29.5</v>
      </c>
      <c r="V16">
        <f t="shared" si="5"/>
        <v>22</v>
      </c>
      <c r="W16">
        <f t="shared" si="6"/>
        <v>15</v>
      </c>
      <c r="X16" s="1">
        <f>Table4[[#This Row],[Time Left]]-P15</f>
        <v>-6.9444444444449749E-4</v>
      </c>
      <c r="AA16" s="5" t="s">
        <v>105</v>
      </c>
      <c r="AB16" s="5" t="s">
        <v>83</v>
      </c>
      <c r="AC16" s="6">
        <v>0.39166666666666672</v>
      </c>
      <c r="AD16" s="6">
        <v>0.41875000000000001</v>
      </c>
      <c r="AE16" s="18">
        <f t="shared" si="7"/>
        <v>2.7083333333333293E-2</v>
      </c>
      <c r="AF16" s="36">
        <v>0.42708333333333331</v>
      </c>
      <c r="AG16" s="39">
        <f t="shared" si="8"/>
        <v>51</v>
      </c>
      <c r="AH16" s="39">
        <f t="shared" si="9"/>
        <v>13.5</v>
      </c>
      <c r="AI16">
        <f t="shared" si="10"/>
        <v>22</v>
      </c>
      <c r="AJ16">
        <f t="shared" si="11"/>
        <v>7.5</v>
      </c>
      <c r="AK16" s="1">
        <f>Table5[[#This Row],[Time Left]]-AC15</f>
        <v>-1.3888888888887729E-3</v>
      </c>
    </row>
    <row r="17" spans="1:43" ht="17" customHeight="1">
      <c r="A17" s="8" t="s">
        <v>110</v>
      </c>
      <c r="B17" s="5" t="s">
        <v>81</v>
      </c>
      <c r="C17" s="6">
        <v>0.36249999999999999</v>
      </c>
      <c r="D17" s="6">
        <v>0.3923611111111111</v>
      </c>
      <c r="E17" s="9">
        <f t="shared" si="0"/>
        <v>2.9861111111111116E-2</v>
      </c>
      <c r="H17" s="2" t="s">
        <v>107</v>
      </c>
      <c r="I17" s="2" t="s">
        <v>81</v>
      </c>
      <c r="J17" s="3">
        <v>0.6479166666666667</v>
      </c>
      <c r="K17" s="3">
        <v>0.67708333333333337</v>
      </c>
      <c r="L17" s="1">
        <f t="shared" si="1"/>
        <v>2.9166666666666674E-2</v>
      </c>
      <c r="N17" s="5" t="s">
        <v>108</v>
      </c>
      <c r="O17" s="5" t="s">
        <v>81</v>
      </c>
      <c r="P17" s="6">
        <v>0.39374999999999999</v>
      </c>
      <c r="Q17" s="6">
        <v>0.41875000000000001</v>
      </c>
      <c r="R17" s="18">
        <f t="shared" si="2"/>
        <v>2.5000000000000022E-2</v>
      </c>
      <c r="S17" s="1">
        <v>0.42708333333333331</v>
      </c>
      <c r="T17">
        <f t="shared" si="3"/>
        <v>49</v>
      </c>
      <c r="U17">
        <f t="shared" si="4"/>
        <v>57.5</v>
      </c>
      <c r="V17">
        <f t="shared" si="5"/>
        <v>21</v>
      </c>
      <c r="W17">
        <f t="shared" si="6"/>
        <v>30</v>
      </c>
      <c r="X17" s="1">
        <f>Table4[[#This Row],[Time Left]]-P16</f>
        <v>6.2499999999999778E-3</v>
      </c>
      <c r="AA17" s="19" t="s">
        <v>103</v>
      </c>
      <c r="AB17" s="19" t="s">
        <v>83</v>
      </c>
      <c r="AC17" s="20">
        <v>0.39652777777777781</v>
      </c>
      <c r="AD17" s="20">
        <v>0.42152777777777778</v>
      </c>
      <c r="AE17" s="21">
        <f t="shared" si="7"/>
        <v>2.4999999999999967E-2</v>
      </c>
      <c r="AF17" s="37">
        <v>0.42708333333333331</v>
      </c>
      <c r="AG17" s="40">
        <f t="shared" si="8"/>
        <v>50</v>
      </c>
      <c r="AH17" s="40">
        <f t="shared" si="9"/>
        <v>37.5</v>
      </c>
      <c r="AI17">
        <f t="shared" si="10"/>
        <v>21</v>
      </c>
      <c r="AJ17">
        <f t="shared" si="11"/>
        <v>22.5</v>
      </c>
      <c r="AK17" s="36">
        <f>Table5[[#This Row],[Time Left]]-AC16</f>
        <v>4.8611111111110938E-3</v>
      </c>
    </row>
    <row r="18" spans="1:43" ht="17" customHeight="1">
      <c r="A18" s="8" t="s">
        <v>115</v>
      </c>
      <c r="B18" s="5" t="s">
        <v>81</v>
      </c>
      <c r="C18" s="6">
        <v>0.36944444444444452</v>
      </c>
      <c r="D18" s="6">
        <v>0.39861111111111108</v>
      </c>
      <c r="E18" s="9">
        <f t="shared" si="0"/>
        <v>2.9166666666666563E-2</v>
      </c>
      <c r="H18" s="2" t="s">
        <v>108</v>
      </c>
      <c r="I18" s="2" t="s">
        <v>81</v>
      </c>
      <c r="J18" s="3">
        <v>0.65416666666666667</v>
      </c>
      <c r="K18" s="3">
        <v>0.68263888888888891</v>
      </c>
      <c r="L18" s="1">
        <f t="shared" si="1"/>
        <v>2.8472222222222232E-2</v>
      </c>
      <c r="N18" s="5" t="s">
        <v>113</v>
      </c>
      <c r="O18" s="5" t="s">
        <v>81</v>
      </c>
      <c r="P18" s="6">
        <v>0.39861111111111108</v>
      </c>
      <c r="Q18" s="6">
        <v>0.4284722222222222</v>
      </c>
      <c r="R18" s="18">
        <f t="shared" si="2"/>
        <v>2.9861111111111116E-2</v>
      </c>
      <c r="S18" s="1">
        <v>0.46875</v>
      </c>
      <c r="T18">
        <f t="shared" si="3"/>
        <v>48</v>
      </c>
      <c r="U18">
        <f t="shared" si="4"/>
        <v>21.5</v>
      </c>
      <c r="V18">
        <f t="shared" si="5"/>
        <v>20</v>
      </c>
      <c r="W18">
        <f t="shared" si="6"/>
        <v>9.5</v>
      </c>
      <c r="X18" s="1">
        <f>Table4[[#This Row],[Time Left]]-P17</f>
        <v>4.8611111111110938E-3</v>
      </c>
      <c r="AA18" s="19" t="s">
        <v>109</v>
      </c>
      <c r="AB18" s="19" t="s">
        <v>83</v>
      </c>
      <c r="AC18" s="20">
        <v>0.4</v>
      </c>
      <c r="AD18" s="20">
        <v>0.42222222222222222</v>
      </c>
      <c r="AE18" s="21">
        <f t="shared" si="7"/>
        <v>2.2222222222222199E-2</v>
      </c>
      <c r="AF18" s="37">
        <v>0.42708333333333331</v>
      </c>
      <c r="AG18" s="40">
        <f t="shared" si="8"/>
        <v>49</v>
      </c>
      <c r="AH18" s="40">
        <f t="shared" si="9"/>
        <v>59</v>
      </c>
      <c r="AI18">
        <f t="shared" si="10"/>
        <v>20</v>
      </c>
      <c r="AJ18">
        <f t="shared" si="11"/>
        <v>33</v>
      </c>
      <c r="AK18" s="36">
        <f>Table5[[#This Row],[Time Left]]-AC17</f>
        <v>3.4722222222222099E-3</v>
      </c>
    </row>
    <row r="19" spans="1:43" ht="17" customHeight="1">
      <c r="A19" s="8" t="s">
        <v>108</v>
      </c>
      <c r="B19" s="5" t="s">
        <v>81</v>
      </c>
      <c r="C19" s="6">
        <v>0.36805555555555558</v>
      </c>
      <c r="D19" s="6">
        <v>0.39027777777777778</v>
      </c>
      <c r="E19" s="9">
        <f t="shared" si="0"/>
        <v>2.2222222222222199E-2</v>
      </c>
      <c r="H19" s="2" t="s">
        <v>113</v>
      </c>
      <c r="I19" s="2" t="s">
        <v>81</v>
      </c>
      <c r="J19" s="3">
        <v>0.65763888888888888</v>
      </c>
      <c r="K19" s="3">
        <v>0.68888888888888888</v>
      </c>
      <c r="L19" s="1">
        <f t="shared" si="1"/>
        <v>3.125E-2</v>
      </c>
      <c r="N19" s="19" t="s">
        <v>110</v>
      </c>
      <c r="O19" s="19" t="s">
        <v>81</v>
      </c>
      <c r="P19" s="20">
        <v>0.39930555555555558</v>
      </c>
      <c r="Q19" s="20">
        <v>0.42986111111111108</v>
      </c>
      <c r="R19" s="18">
        <f t="shared" si="2"/>
        <v>3.0555555555555503E-2</v>
      </c>
      <c r="S19" s="1">
        <v>0.46875</v>
      </c>
      <c r="T19">
        <f t="shared" si="3"/>
        <v>47</v>
      </c>
      <c r="U19">
        <f t="shared" si="4"/>
        <v>16</v>
      </c>
      <c r="V19">
        <f t="shared" si="5"/>
        <v>19</v>
      </c>
      <c r="W19">
        <f t="shared" si="6"/>
        <v>5</v>
      </c>
      <c r="X19" s="1">
        <f>Table4[[#This Row],[Time Left]]-P18</f>
        <v>6.9444444444449749E-4</v>
      </c>
      <c r="AA19" s="5" t="s">
        <v>111</v>
      </c>
      <c r="AB19" s="5" t="s">
        <v>83</v>
      </c>
      <c r="AC19" s="6">
        <v>0.40486111111111112</v>
      </c>
      <c r="AD19" s="6">
        <v>0.4284722222222222</v>
      </c>
      <c r="AE19" s="18">
        <f t="shared" si="7"/>
        <v>2.3611111111111083E-2</v>
      </c>
      <c r="AF19" s="1">
        <v>0.46875</v>
      </c>
      <c r="AG19">
        <f t="shared" si="8"/>
        <v>48</v>
      </c>
      <c r="AH19">
        <f t="shared" si="9"/>
        <v>49</v>
      </c>
      <c r="AI19">
        <f t="shared" si="10"/>
        <v>19</v>
      </c>
      <c r="AJ19">
        <f t="shared" si="11"/>
        <v>27</v>
      </c>
      <c r="AK19" s="1">
        <f>Table5[[#This Row],[Time Left]]-AC18</f>
        <v>4.8611111111110938E-3</v>
      </c>
    </row>
    <row r="20" spans="1:43" ht="17" customHeight="1">
      <c r="A20" s="8" t="s">
        <v>113</v>
      </c>
      <c r="B20" s="5" t="s">
        <v>81</v>
      </c>
      <c r="C20" s="6">
        <v>0.37013888888888891</v>
      </c>
      <c r="D20" s="6">
        <v>0.39583333333333331</v>
      </c>
      <c r="E20" s="9">
        <f t="shared" si="0"/>
        <v>2.5694444444444409E-2</v>
      </c>
      <c r="H20" s="2" t="s">
        <v>82</v>
      </c>
      <c r="I20" s="2" t="s">
        <v>81</v>
      </c>
      <c r="J20" s="3">
        <v>0.66736111111111107</v>
      </c>
      <c r="K20" s="3">
        <v>0.6958333333333333</v>
      </c>
      <c r="L20" s="1">
        <f t="shared" si="1"/>
        <v>2.8472222222222232E-2</v>
      </c>
      <c r="N20" s="19" t="s">
        <v>97</v>
      </c>
      <c r="O20" s="19" t="s">
        <v>81</v>
      </c>
      <c r="P20" s="20">
        <v>0.40277777777777779</v>
      </c>
      <c r="Q20" s="20">
        <v>0.43333333333333329</v>
      </c>
      <c r="R20" s="18">
        <f t="shared" si="2"/>
        <v>3.0555555555555503E-2</v>
      </c>
      <c r="S20" s="1">
        <v>0.46875</v>
      </c>
      <c r="T20">
        <f t="shared" si="3"/>
        <v>46</v>
      </c>
      <c r="U20">
        <f t="shared" si="4"/>
        <v>16</v>
      </c>
      <c r="V20">
        <f t="shared" si="5"/>
        <v>18</v>
      </c>
      <c r="W20">
        <f t="shared" si="6"/>
        <v>5</v>
      </c>
      <c r="X20" s="1">
        <f>Table4[[#This Row],[Time Left]]-P19</f>
        <v>3.4722222222222099E-3</v>
      </c>
      <c r="AA20" s="19" t="s">
        <v>114</v>
      </c>
      <c r="AB20" s="19" t="s">
        <v>83</v>
      </c>
      <c r="AC20" s="20">
        <v>0.40902777777777782</v>
      </c>
      <c r="AD20" s="20">
        <v>0.43402777777777779</v>
      </c>
      <c r="AE20" s="21">
        <f t="shared" si="7"/>
        <v>2.4999999999999967E-2</v>
      </c>
      <c r="AF20" s="1">
        <v>0.46875</v>
      </c>
      <c r="AG20">
        <f t="shared" si="8"/>
        <v>47</v>
      </c>
      <c r="AH20">
        <f t="shared" si="9"/>
        <v>37.5</v>
      </c>
      <c r="AI20">
        <f t="shared" si="10"/>
        <v>18</v>
      </c>
      <c r="AJ20">
        <f t="shared" si="11"/>
        <v>22.5</v>
      </c>
      <c r="AK20" s="36">
        <f>Table5[[#This Row],[Time Left]]-AC19</f>
        <v>4.1666666666667074E-3</v>
      </c>
    </row>
    <row r="21" spans="1:43" ht="17" customHeight="1">
      <c r="A21" s="8" t="s">
        <v>94</v>
      </c>
      <c r="B21" s="5" t="s">
        <v>81</v>
      </c>
      <c r="C21" s="6">
        <v>0.37291666666666667</v>
      </c>
      <c r="D21" s="6">
        <v>0.40208333333333329</v>
      </c>
      <c r="E21" s="9">
        <f t="shared" si="0"/>
        <v>2.9166666666666619E-2</v>
      </c>
      <c r="H21" s="2" t="s">
        <v>104</v>
      </c>
      <c r="I21" s="2" t="s">
        <v>81</v>
      </c>
      <c r="J21" s="3">
        <v>0.66041666666666665</v>
      </c>
      <c r="K21" s="3">
        <v>0.69374999999999998</v>
      </c>
      <c r="L21" s="1">
        <f t="shared" si="1"/>
        <v>3.3333333333333326E-2</v>
      </c>
      <c r="N21" s="5" t="s">
        <v>94</v>
      </c>
      <c r="O21" s="5" t="s">
        <v>81</v>
      </c>
      <c r="P21" s="6">
        <v>0.40625</v>
      </c>
      <c r="Q21" s="6">
        <v>0.43402777777777779</v>
      </c>
      <c r="R21" s="18">
        <f t="shared" si="2"/>
        <v>2.777777777777779E-2</v>
      </c>
      <c r="S21" s="1">
        <v>0.46875</v>
      </c>
      <c r="T21">
        <f t="shared" si="3"/>
        <v>45</v>
      </c>
      <c r="U21">
        <f t="shared" si="4"/>
        <v>46.5</v>
      </c>
      <c r="V21">
        <f t="shared" si="5"/>
        <v>17</v>
      </c>
      <c r="W21">
        <f t="shared" si="6"/>
        <v>23.5</v>
      </c>
      <c r="X21" s="1">
        <f>Table4[[#This Row],[Time Left]]-P20</f>
        <v>3.4722222222222099E-3</v>
      </c>
      <c r="AA21" s="5" t="s">
        <v>116</v>
      </c>
      <c r="AB21" s="5" t="s">
        <v>83</v>
      </c>
      <c r="AC21" s="6">
        <v>0.41388888888888892</v>
      </c>
      <c r="AD21" s="6">
        <v>0.43888888888888888</v>
      </c>
      <c r="AE21" s="18">
        <f t="shared" si="7"/>
        <v>2.4999999999999967E-2</v>
      </c>
      <c r="AF21" s="1">
        <v>0.46875</v>
      </c>
      <c r="AG21">
        <f t="shared" si="8"/>
        <v>46</v>
      </c>
      <c r="AH21">
        <f t="shared" si="9"/>
        <v>37.5</v>
      </c>
      <c r="AI21">
        <f t="shared" si="10"/>
        <v>17</v>
      </c>
      <c r="AJ21">
        <f t="shared" si="11"/>
        <v>22.5</v>
      </c>
      <c r="AK21" s="1">
        <f>Table5[[#This Row],[Time Left]]-AC20</f>
        <v>4.8611111111110938E-3</v>
      </c>
    </row>
    <row r="22" spans="1:43" ht="17" customHeight="1">
      <c r="A22" s="8" t="s">
        <v>107</v>
      </c>
      <c r="B22" s="5" t="s">
        <v>81</v>
      </c>
      <c r="C22" s="6">
        <v>0.37777777777777782</v>
      </c>
      <c r="D22" s="6">
        <v>0.40763888888888888</v>
      </c>
      <c r="E22" s="9">
        <f t="shared" si="0"/>
        <v>2.9861111111111061E-2</v>
      </c>
      <c r="H22" s="2" t="s">
        <v>97</v>
      </c>
      <c r="I22" s="2" t="s">
        <v>81</v>
      </c>
      <c r="J22" s="3">
        <v>0.67152777777777772</v>
      </c>
      <c r="K22" s="3">
        <v>0.70277777777777772</v>
      </c>
      <c r="L22" s="1">
        <f t="shared" si="1"/>
        <v>3.125E-2</v>
      </c>
      <c r="N22" s="19" t="s">
        <v>115</v>
      </c>
      <c r="O22" s="19" t="s">
        <v>81</v>
      </c>
      <c r="P22" s="20">
        <v>0.40138888888888891</v>
      </c>
      <c r="Q22" s="20">
        <v>0.43611111111111112</v>
      </c>
      <c r="R22" s="21">
        <f t="shared" si="2"/>
        <v>3.472222222222221E-2</v>
      </c>
      <c r="S22" s="1">
        <v>0.46875</v>
      </c>
      <c r="T22">
        <f t="shared" si="3"/>
        <v>44</v>
      </c>
      <c r="U22">
        <f t="shared" si="4"/>
        <v>2</v>
      </c>
      <c r="V22">
        <f t="shared" si="5"/>
        <v>16</v>
      </c>
      <c r="W22">
        <f t="shared" si="6"/>
        <v>1</v>
      </c>
      <c r="X22" s="1">
        <f>Table4[[#This Row],[Time Left]]-P21</f>
        <v>-4.8611111111110938E-3</v>
      </c>
      <c r="AA22" s="19" t="s">
        <v>98</v>
      </c>
      <c r="AB22" s="19" t="s">
        <v>83</v>
      </c>
      <c r="AC22" s="20">
        <v>0.41875000000000001</v>
      </c>
      <c r="AD22" s="20">
        <v>0.44444444444444442</v>
      </c>
      <c r="AE22" s="21">
        <f t="shared" si="7"/>
        <v>2.5694444444444409E-2</v>
      </c>
      <c r="AF22" s="1">
        <v>0.46875</v>
      </c>
      <c r="AG22">
        <f t="shared" si="8"/>
        <v>45</v>
      </c>
      <c r="AH22">
        <f t="shared" si="9"/>
        <v>29</v>
      </c>
      <c r="AI22">
        <f t="shared" si="10"/>
        <v>16</v>
      </c>
      <c r="AJ22">
        <f t="shared" si="11"/>
        <v>15</v>
      </c>
      <c r="AK22" s="36">
        <f>Table5[[#This Row],[Time Left]]-AC21</f>
        <v>4.8611111111110938E-3</v>
      </c>
    </row>
    <row r="23" spans="1:43" ht="17" customHeight="1">
      <c r="A23" s="8" t="s">
        <v>97</v>
      </c>
      <c r="B23" s="5" t="s">
        <v>81</v>
      </c>
      <c r="C23" s="6">
        <v>0.38194444444444442</v>
      </c>
      <c r="D23" s="6">
        <v>0.40625</v>
      </c>
      <c r="E23" s="9">
        <f t="shared" si="0"/>
        <v>2.430555555555558E-2</v>
      </c>
      <c r="H23" s="2" t="s">
        <v>94</v>
      </c>
      <c r="I23" s="2" t="s">
        <v>81</v>
      </c>
      <c r="J23" s="3">
        <v>0.67708333333333337</v>
      </c>
      <c r="K23" s="3">
        <v>0.70625000000000004</v>
      </c>
      <c r="L23" s="1">
        <f t="shared" si="1"/>
        <v>2.9166666666666674E-2</v>
      </c>
      <c r="N23" s="5" t="s">
        <v>99</v>
      </c>
      <c r="O23" s="5" t="s">
        <v>81</v>
      </c>
      <c r="P23" s="6">
        <v>0.41666666666666669</v>
      </c>
      <c r="Q23" s="6">
        <v>0.43888888888888888</v>
      </c>
      <c r="R23" s="18">
        <f t="shared" si="2"/>
        <v>2.2222222222222199E-2</v>
      </c>
      <c r="S23" s="1">
        <v>0.46875</v>
      </c>
      <c r="T23">
        <f t="shared" si="3"/>
        <v>43</v>
      </c>
      <c r="U23">
        <f t="shared" si="4"/>
        <v>61.5</v>
      </c>
      <c r="V23">
        <f t="shared" si="5"/>
        <v>15</v>
      </c>
      <c r="W23">
        <f t="shared" si="6"/>
        <v>33.5</v>
      </c>
      <c r="X23" s="1">
        <f>Table4[[#This Row],[Time Left]]-P22</f>
        <v>1.5277777777777779E-2</v>
      </c>
      <c r="AA23" s="19" t="s">
        <v>105</v>
      </c>
      <c r="AB23" s="19" t="s">
        <v>83</v>
      </c>
      <c r="AC23" s="20">
        <v>0.42430555555555549</v>
      </c>
      <c r="AD23" s="20">
        <v>0.44722222222222219</v>
      </c>
      <c r="AE23" s="21">
        <f t="shared" si="7"/>
        <v>2.2916666666666696E-2</v>
      </c>
      <c r="AF23" s="1">
        <v>0.46875</v>
      </c>
      <c r="AG23">
        <f t="shared" si="8"/>
        <v>44</v>
      </c>
      <c r="AH23">
        <f t="shared" si="9"/>
        <v>52.5</v>
      </c>
      <c r="AI23">
        <f t="shared" si="10"/>
        <v>15</v>
      </c>
      <c r="AJ23">
        <f t="shared" si="11"/>
        <v>29.5</v>
      </c>
      <c r="AK23" s="36">
        <f>Table5[[#This Row],[Time Left]]-AC22</f>
        <v>5.5555555555554803E-3</v>
      </c>
    </row>
    <row r="24" spans="1:43" ht="17" customHeight="1">
      <c r="A24" s="8" t="s">
        <v>99</v>
      </c>
      <c r="B24" s="5" t="s">
        <v>81</v>
      </c>
      <c r="C24" s="6">
        <v>0.38819444444444451</v>
      </c>
      <c r="D24" s="6">
        <v>0.41388888888888892</v>
      </c>
      <c r="E24" s="9">
        <f t="shared" si="0"/>
        <v>2.5694444444444409E-2</v>
      </c>
      <c r="H24" s="2" t="s">
        <v>99</v>
      </c>
      <c r="I24" s="2" t="s">
        <v>81</v>
      </c>
      <c r="J24" s="3">
        <v>0.68125000000000002</v>
      </c>
      <c r="K24" s="3">
        <v>0.71388888888888891</v>
      </c>
      <c r="L24" s="1">
        <f t="shared" si="1"/>
        <v>3.2638888888888884E-2</v>
      </c>
      <c r="N24" s="5" t="s">
        <v>107</v>
      </c>
      <c r="O24" s="5" t="s">
        <v>81</v>
      </c>
      <c r="P24" s="6">
        <v>0.41249999999999998</v>
      </c>
      <c r="Q24" s="6">
        <v>0.44097222222222221</v>
      </c>
      <c r="R24" s="18">
        <f t="shared" si="2"/>
        <v>2.8472222222222232E-2</v>
      </c>
      <c r="S24" s="1">
        <v>0.46875</v>
      </c>
      <c r="T24">
        <f t="shared" si="3"/>
        <v>42</v>
      </c>
      <c r="U24">
        <f t="shared" si="4"/>
        <v>38.5</v>
      </c>
      <c r="V24">
        <f t="shared" si="5"/>
        <v>14</v>
      </c>
      <c r="W24">
        <f t="shared" si="6"/>
        <v>20.5</v>
      </c>
      <c r="X24" s="1">
        <f>Table4[[#This Row],[Time Left]]-P23</f>
        <v>-4.1666666666667074E-3</v>
      </c>
      <c r="AA24" s="5" t="s">
        <v>103</v>
      </c>
      <c r="AB24" s="5" t="s">
        <v>83</v>
      </c>
      <c r="AC24" s="6">
        <v>0.42916666666666659</v>
      </c>
      <c r="AD24" s="6">
        <v>0.45</v>
      </c>
      <c r="AE24" s="18">
        <f t="shared" si="7"/>
        <v>2.0833333333333426E-2</v>
      </c>
      <c r="AF24" s="1">
        <v>0.46875</v>
      </c>
      <c r="AG24">
        <f t="shared" si="8"/>
        <v>43</v>
      </c>
      <c r="AH24">
        <f t="shared" si="9"/>
        <v>63</v>
      </c>
      <c r="AI24">
        <f t="shared" si="10"/>
        <v>14</v>
      </c>
      <c r="AJ24">
        <f t="shared" si="11"/>
        <v>36</v>
      </c>
      <c r="AK24" s="1">
        <f>Table5[[#This Row],[Time Left]]-AC23</f>
        <v>4.8611111111110938E-3</v>
      </c>
    </row>
    <row r="25" spans="1:43" ht="17" customHeight="1">
      <c r="A25" s="8" t="s">
        <v>102</v>
      </c>
      <c r="B25" s="5" t="s">
        <v>81</v>
      </c>
      <c r="C25" s="6">
        <v>0.38750000000000001</v>
      </c>
      <c r="D25" s="6">
        <v>0.41666666666666669</v>
      </c>
      <c r="E25" s="9">
        <f t="shared" si="0"/>
        <v>2.9166666666666674E-2</v>
      </c>
      <c r="H25" s="2" t="s">
        <v>107</v>
      </c>
      <c r="I25" s="2" t="s">
        <v>81</v>
      </c>
      <c r="J25" s="3">
        <v>0.68680555555555556</v>
      </c>
      <c r="K25" s="3">
        <v>0.71666666666666667</v>
      </c>
      <c r="L25" s="1">
        <f t="shared" si="1"/>
        <v>2.9861111111111116E-2</v>
      </c>
      <c r="N25" s="5" t="s">
        <v>108</v>
      </c>
      <c r="O25" s="5" t="s">
        <v>81</v>
      </c>
      <c r="P25" s="6">
        <v>0.41736111111111113</v>
      </c>
      <c r="Q25" s="6">
        <v>0.44513888888888892</v>
      </c>
      <c r="R25" s="18">
        <f t="shared" si="2"/>
        <v>2.777777777777779E-2</v>
      </c>
      <c r="S25" s="1">
        <v>0.46875</v>
      </c>
      <c r="T25">
        <f t="shared" si="3"/>
        <v>41</v>
      </c>
      <c r="U25">
        <f t="shared" si="4"/>
        <v>46.5</v>
      </c>
      <c r="V25">
        <f t="shared" si="5"/>
        <v>13</v>
      </c>
      <c r="W25">
        <f t="shared" si="6"/>
        <v>23.5</v>
      </c>
      <c r="X25" s="1">
        <f>Table4[[#This Row],[Time Left]]-P24</f>
        <v>4.8611111111111494E-3</v>
      </c>
      <c r="AA25" s="19" t="s">
        <v>109</v>
      </c>
      <c r="AB25" s="19" t="s">
        <v>83</v>
      </c>
      <c r="AC25" s="20">
        <v>0.43263888888888891</v>
      </c>
      <c r="AD25" s="20">
        <v>0.45763888888888887</v>
      </c>
      <c r="AE25" s="21">
        <f t="shared" si="7"/>
        <v>2.4999999999999967E-2</v>
      </c>
      <c r="AF25" s="1">
        <v>0.46875</v>
      </c>
      <c r="AG25">
        <f t="shared" si="8"/>
        <v>42</v>
      </c>
      <c r="AH25">
        <f t="shared" si="9"/>
        <v>37.5</v>
      </c>
      <c r="AI25">
        <f t="shared" si="10"/>
        <v>13</v>
      </c>
      <c r="AJ25">
        <f t="shared" si="11"/>
        <v>22.5</v>
      </c>
      <c r="AK25" s="36">
        <f>Table5[[#This Row],[Time Left]]-AC24</f>
        <v>3.4722222222223209E-3</v>
      </c>
    </row>
    <row r="26" spans="1:43" ht="17" customHeight="1">
      <c r="A26" s="8" t="s">
        <v>104</v>
      </c>
      <c r="B26" s="5" t="s">
        <v>81</v>
      </c>
      <c r="C26" s="6">
        <v>0.3923611111111111</v>
      </c>
      <c r="D26" s="7"/>
      <c r="E26" s="9">
        <f t="shared" si="0"/>
        <v>-0.3923611111111111</v>
      </c>
      <c r="H26" s="2" t="s">
        <v>120</v>
      </c>
      <c r="I26" s="2" t="s">
        <v>81</v>
      </c>
      <c r="J26" s="3">
        <v>0.69236111111111109</v>
      </c>
      <c r="K26" s="3">
        <v>0.72499999999999998</v>
      </c>
      <c r="L26" s="1">
        <f t="shared" si="1"/>
        <v>3.2638888888888884E-2</v>
      </c>
      <c r="N26" s="19" t="s">
        <v>102</v>
      </c>
      <c r="O26" s="19" t="s">
        <v>81</v>
      </c>
      <c r="P26" s="20">
        <v>0.42083333333333328</v>
      </c>
      <c r="Q26" s="20">
        <v>0.4513888888888889</v>
      </c>
      <c r="R26" s="21">
        <f t="shared" si="2"/>
        <v>3.0555555555555614E-2</v>
      </c>
      <c r="S26" s="1">
        <v>0.46875</v>
      </c>
      <c r="T26">
        <f t="shared" si="3"/>
        <v>40</v>
      </c>
      <c r="U26">
        <f t="shared" si="4"/>
        <v>13</v>
      </c>
      <c r="V26">
        <f t="shared" si="5"/>
        <v>12</v>
      </c>
      <c r="W26">
        <f t="shared" si="6"/>
        <v>3</v>
      </c>
      <c r="X26" s="1">
        <f>Table4[[#This Row],[Time Left]]-P25</f>
        <v>3.4722222222221544E-3</v>
      </c>
      <c r="AA26" s="5" t="s">
        <v>111</v>
      </c>
      <c r="AB26" s="5" t="s">
        <v>83</v>
      </c>
      <c r="AC26" s="6">
        <v>0.43888888888888888</v>
      </c>
      <c r="AD26" s="6">
        <v>0.46180555555555558</v>
      </c>
      <c r="AE26" s="18">
        <f t="shared" si="7"/>
        <v>2.2916666666666696E-2</v>
      </c>
      <c r="AF26" s="1">
        <v>0.46875</v>
      </c>
      <c r="AG26">
        <f t="shared" si="8"/>
        <v>41</v>
      </c>
      <c r="AH26">
        <f t="shared" si="9"/>
        <v>52.5</v>
      </c>
      <c r="AI26">
        <f t="shared" si="10"/>
        <v>12</v>
      </c>
      <c r="AJ26">
        <f t="shared" si="11"/>
        <v>29.5</v>
      </c>
      <c r="AK26" s="1">
        <f>Table5[[#This Row],[Time Left]]-AC25</f>
        <v>6.2499999999999778E-3</v>
      </c>
    </row>
    <row r="27" spans="1:43" ht="17" customHeight="1">
      <c r="A27" s="8" t="s">
        <v>108</v>
      </c>
      <c r="B27" s="5" t="s">
        <v>81</v>
      </c>
      <c r="C27" s="6">
        <v>0.39374999999999999</v>
      </c>
      <c r="D27" s="6">
        <v>0.41875000000000001</v>
      </c>
      <c r="E27" s="9">
        <f t="shared" si="0"/>
        <v>2.5000000000000022E-2</v>
      </c>
      <c r="H27" s="2" t="s">
        <v>113</v>
      </c>
      <c r="I27" s="2" t="s">
        <v>81</v>
      </c>
      <c r="J27" s="3">
        <v>0.69722222222222219</v>
      </c>
      <c r="K27" s="3">
        <v>0.72916666666666663</v>
      </c>
      <c r="L27" s="1">
        <f t="shared" si="1"/>
        <v>3.1944444444444442E-2</v>
      </c>
      <c r="N27" s="19" t="s">
        <v>104</v>
      </c>
      <c r="O27" s="19" t="s">
        <v>81</v>
      </c>
      <c r="P27" s="20">
        <v>0.42916666666666659</v>
      </c>
      <c r="Q27" s="20">
        <v>0.45624999999999999</v>
      </c>
      <c r="R27" s="21">
        <f t="shared" si="2"/>
        <v>2.7083333333333404E-2</v>
      </c>
      <c r="S27" s="1">
        <v>0.46875</v>
      </c>
      <c r="T27">
        <f t="shared" si="3"/>
        <v>39</v>
      </c>
      <c r="U27">
        <f t="shared" si="4"/>
        <v>50</v>
      </c>
      <c r="V27">
        <f t="shared" si="5"/>
        <v>11</v>
      </c>
      <c r="W27">
        <f t="shared" si="6"/>
        <v>25</v>
      </c>
      <c r="X27" s="1">
        <f>Table4[[#This Row],[Time Left]]-P26</f>
        <v>8.3333333333333037E-3</v>
      </c>
      <c r="AA27" s="19" t="s">
        <v>114</v>
      </c>
      <c r="AB27" s="19" t="s">
        <v>83</v>
      </c>
      <c r="AC27" s="20">
        <v>0.44305555555555548</v>
      </c>
      <c r="AD27" s="20">
        <v>0.46875</v>
      </c>
      <c r="AE27" s="21">
        <f t="shared" si="7"/>
        <v>2.569444444444452E-2</v>
      </c>
      <c r="AF27" s="36">
        <v>0.51041666666666663</v>
      </c>
      <c r="AG27" s="39">
        <f t="shared" si="8"/>
        <v>40</v>
      </c>
      <c r="AH27" s="39">
        <f t="shared" si="9"/>
        <v>25</v>
      </c>
      <c r="AI27">
        <f t="shared" si="10"/>
        <v>11</v>
      </c>
      <c r="AJ27">
        <f t="shared" si="11"/>
        <v>13</v>
      </c>
      <c r="AK27" s="36">
        <f>Table5[[#This Row],[Time Left]]-AC26</f>
        <v>4.1666666666665964E-3</v>
      </c>
    </row>
    <row r="28" spans="1:43" ht="17" customHeight="1">
      <c r="A28" s="8" t="s">
        <v>110</v>
      </c>
      <c r="B28" s="5" t="s">
        <v>81</v>
      </c>
      <c r="C28" s="6">
        <v>0.39930555555555558</v>
      </c>
      <c r="D28" s="6">
        <v>0.42986111111111108</v>
      </c>
      <c r="E28" s="9">
        <f t="shared" si="0"/>
        <v>3.0555555555555503E-2</v>
      </c>
      <c r="H28" s="2" t="s">
        <v>104</v>
      </c>
      <c r="I28" s="2" t="s">
        <v>81</v>
      </c>
      <c r="J28" s="3">
        <v>0.70208333333333328</v>
      </c>
      <c r="K28" s="3">
        <v>0.73263888888888884</v>
      </c>
      <c r="L28" s="1">
        <f t="shared" si="1"/>
        <v>3.0555555555555558E-2</v>
      </c>
      <c r="N28" s="5" t="s">
        <v>113</v>
      </c>
      <c r="O28" s="5" t="s">
        <v>81</v>
      </c>
      <c r="P28" s="6">
        <v>0.42986111111111108</v>
      </c>
      <c r="Q28" s="6">
        <v>0.45694444444444438</v>
      </c>
      <c r="R28" s="18">
        <f t="shared" si="2"/>
        <v>2.7083333333333293E-2</v>
      </c>
      <c r="S28" s="1">
        <v>0.46875</v>
      </c>
      <c r="T28">
        <f t="shared" si="3"/>
        <v>38</v>
      </c>
      <c r="U28">
        <f t="shared" si="4"/>
        <v>53</v>
      </c>
      <c r="V28">
        <f t="shared" si="5"/>
        <v>10</v>
      </c>
      <c r="W28">
        <f t="shared" si="6"/>
        <v>26</v>
      </c>
      <c r="X28" s="1">
        <f>Table4[[#This Row],[Time Left]]-P27</f>
        <v>6.9444444444449749E-4</v>
      </c>
      <c r="AA28" s="5" t="s">
        <v>116</v>
      </c>
      <c r="AB28" s="5" t="s">
        <v>83</v>
      </c>
      <c r="AC28" s="6">
        <v>0.44791666666666669</v>
      </c>
      <c r="AD28" s="6">
        <v>0.47361111111111109</v>
      </c>
      <c r="AE28" s="18">
        <f t="shared" si="7"/>
        <v>2.5694444444444409E-2</v>
      </c>
      <c r="AF28" s="36">
        <v>0.51041666666666663</v>
      </c>
      <c r="AG28" s="39">
        <f t="shared" si="8"/>
        <v>39</v>
      </c>
      <c r="AH28" s="39">
        <f t="shared" si="9"/>
        <v>29</v>
      </c>
      <c r="AI28">
        <f t="shared" si="10"/>
        <v>10</v>
      </c>
      <c r="AJ28">
        <f t="shared" si="11"/>
        <v>15</v>
      </c>
      <c r="AK28" s="1">
        <f>Table5[[#This Row],[Time Left]]-AC27</f>
        <v>4.8611111111112049E-3</v>
      </c>
    </row>
    <row r="29" spans="1:43" ht="17" customHeight="1">
      <c r="A29" s="8" t="s">
        <v>113</v>
      </c>
      <c r="B29" s="5" t="s">
        <v>81</v>
      </c>
      <c r="C29" s="6">
        <v>0.37777777777777782</v>
      </c>
      <c r="D29" s="6">
        <v>0.4284722222222222</v>
      </c>
      <c r="E29" s="9">
        <f t="shared" si="0"/>
        <v>5.0694444444444375E-2</v>
      </c>
      <c r="H29" s="2" t="s">
        <v>82</v>
      </c>
      <c r="I29" s="2" t="s">
        <v>81</v>
      </c>
      <c r="J29" s="3">
        <v>0.70763888888888893</v>
      </c>
      <c r="K29" s="3">
        <v>0.73750000000000004</v>
      </c>
      <c r="L29" s="1">
        <f t="shared" si="1"/>
        <v>2.9861111111111116E-2</v>
      </c>
      <c r="N29" s="5" t="s">
        <v>94</v>
      </c>
      <c r="O29" s="5" t="s">
        <v>81</v>
      </c>
      <c r="P29" s="6">
        <v>0.44236111111111109</v>
      </c>
      <c r="Q29" s="6">
        <v>0.4597222222222222</v>
      </c>
      <c r="R29" s="18">
        <f t="shared" si="2"/>
        <v>1.7361111111111105E-2</v>
      </c>
      <c r="S29" s="1">
        <v>0.46875</v>
      </c>
      <c r="T29">
        <f t="shared" si="3"/>
        <v>37</v>
      </c>
      <c r="U29">
        <f t="shared" si="4"/>
        <v>64</v>
      </c>
      <c r="V29">
        <f t="shared" si="5"/>
        <v>9</v>
      </c>
      <c r="W29">
        <f t="shared" si="6"/>
        <v>36</v>
      </c>
      <c r="X29" s="1">
        <f>Table4[[#This Row],[Time Left]]-P28</f>
        <v>1.2500000000000011E-2</v>
      </c>
      <c r="AA29" s="19" t="s">
        <v>98</v>
      </c>
      <c r="AB29" s="19" t="s">
        <v>83</v>
      </c>
      <c r="AC29" s="20">
        <v>0.45277777777777778</v>
      </c>
      <c r="AD29" s="20">
        <v>0.4777777777777778</v>
      </c>
      <c r="AE29" s="21">
        <f t="shared" si="7"/>
        <v>2.5000000000000022E-2</v>
      </c>
      <c r="AF29" s="36">
        <v>0.51041666666666663</v>
      </c>
      <c r="AG29" s="39">
        <f t="shared" si="8"/>
        <v>38</v>
      </c>
      <c r="AH29" s="39">
        <f t="shared" si="9"/>
        <v>33.5</v>
      </c>
      <c r="AI29">
        <f t="shared" si="10"/>
        <v>9</v>
      </c>
      <c r="AJ29">
        <f t="shared" si="11"/>
        <v>19</v>
      </c>
      <c r="AK29" s="36">
        <f>Table5[[#This Row],[Time Left]]-AC28</f>
        <v>4.8611111111110938E-3</v>
      </c>
    </row>
    <row r="30" spans="1:43" ht="17" customHeight="1">
      <c r="A30" s="8" t="s">
        <v>115</v>
      </c>
      <c r="B30" s="5" t="s">
        <v>81</v>
      </c>
      <c r="C30" s="6">
        <v>0.40138888888888891</v>
      </c>
      <c r="D30" s="6">
        <v>0.43611111111111112</v>
      </c>
      <c r="E30" s="9">
        <f t="shared" si="0"/>
        <v>3.472222222222221E-2</v>
      </c>
      <c r="H30" s="2" t="s">
        <v>97</v>
      </c>
      <c r="I30" s="2" t="s">
        <v>81</v>
      </c>
      <c r="J30" s="3">
        <v>0.71388888888888891</v>
      </c>
      <c r="K30" s="3">
        <v>0.74513888888888891</v>
      </c>
      <c r="L30" s="1">
        <f t="shared" si="1"/>
        <v>3.125E-2</v>
      </c>
      <c r="N30" s="19" t="s">
        <v>97</v>
      </c>
      <c r="O30" s="19" t="s">
        <v>81</v>
      </c>
      <c r="P30" s="20">
        <v>0.4465277777777778</v>
      </c>
      <c r="Q30" s="20">
        <v>0.46875</v>
      </c>
      <c r="R30" s="18">
        <f t="shared" si="2"/>
        <v>2.2222222222222199E-2</v>
      </c>
      <c r="S30" s="1">
        <v>0.51041666666666663</v>
      </c>
      <c r="T30">
        <f t="shared" si="3"/>
        <v>36</v>
      </c>
      <c r="U30">
        <f t="shared" si="4"/>
        <v>61.5</v>
      </c>
      <c r="V30">
        <f t="shared" si="5"/>
        <v>8</v>
      </c>
      <c r="W30">
        <f t="shared" si="6"/>
        <v>33.5</v>
      </c>
      <c r="X30" s="1">
        <f>Table4[[#This Row],[Time Left]]-P29</f>
        <v>4.1666666666667074E-3</v>
      </c>
      <c r="AA30" s="5" t="s">
        <v>105</v>
      </c>
      <c r="AB30" s="5" t="s">
        <v>83</v>
      </c>
      <c r="AC30" s="6">
        <v>0.45763888888888887</v>
      </c>
      <c r="AD30" s="6">
        <v>0.48402777777777778</v>
      </c>
      <c r="AE30" s="18">
        <f t="shared" si="7"/>
        <v>2.6388888888888906E-2</v>
      </c>
      <c r="AF30" s="36">
        <v>0.51041666666666663</v>
      </c>
      <c r="AG30" s="39">
        <f t="shared" si="8"/>
        <v>37</v>
      </c>
      <c r="AH30" s="39">
        <f t="shared" si="9"/>
        <v>19.5</v>
      </c>
      <c r="AI30">
        <f t="shared" si="10"/>
        <v>8</v>
      </c>
      <c r="AJ30">
        <f t="shared" si="11"/>
        <v>10.5</v>
      </c>
      <c r="AK30" s="1">
        <f>Table5[[#This Row],[Time Left]]-AC29</f>
        <v>4.8611111111110938E-3</v>
      </c>
      <c r="AL30" t="s">
        <v>121</v>
      </c>
    </row>
    <row r="31" spans="1:43" ht="17" customHeight="1">
      <c r="A31" s="8" t="s">
        <v>94</v>
      </c>
      <c r="B31" s="5" t="s">
        <v>81</v>
      </c>
      <c r="C31" s="6">
        <v>0.40625</v>
      </c>
      <c r="D31" s="6">
        <v>0.43402777777777779</v>
      </c>
      <c r="E31" s="9">
        <f t="shared" si="0"/>
        <v>2.777777777777779E-2</v>
      </c>
      <c r="H31" s="2" t="s">
        <v>94</v>
      </c>
      <c r="I31" s="2" t="s">
        <v>81</v>
      </c>
      <c r="J31" s="3">
        <v>0.71736111111111112</v>
      </c>
      <c r="K31" s="3">
        <v>0.74652777777777779</v>
      </c>
      <c r="L31" s="1">
        <f t="shared" si="1"/>
        <v>2.9166666666666674E-2</v>
      </c>
      <c r="N31" s="19" t="s">
        <v>99</v>
      </c>
      <c r="O31" s="19" t="s">
        <v>81</v>
      </c>
      <c r="P31" s="20">
        <v>0.44861111111111113</v>
      </c>
      <c r="Q31" s="20">
        <v>0.47708333333333341</v>
      </c>
      <c r="R31" s="21">
        <f t="shared" si="2"/>
        <v>2.8472222222222288E-2</v>
      </c>
      <c r="S31" s="1">
        <v>0.51041666666666663</v>
      </c>
      <c r="T31">
        <f t="shared" si="3"/>
        <v>35</v>
      </c>
      <c r="U31">
        <f t="shared" si="4"/>
        <v>35</v>
      </c>
      <c r="V31">
        <f t="shared" si="5"/>
        <v>7</v>
      </c>
      <c r="W31">
        <f t="shared" si="6"/>
        <v>19</v>
      </c>
      <c r="X31" s="1">
        <f>Table4[[#This Row],[Time Left]]-P30</f>
        <v>2.0833333333333259E-3</v>
      </c>
      <c r="AA31" s="19" t="s">
        <v>122</v>
      </c>
      <c r="AB31" s="19" t="s">
        <v>83</v>
      </c>
      <c r="AC31" s="20">
        <v>0.46319444444444452</v>
      </c>
      <c r="AD31" s="20">
        <v>0.48472222222222222</v>
      </c>
      <c r="AE31" s="21">
        <f t="shared" si="7"/>
        <v>2.1527777777777701E-2</v>
      </c>
      <c r="AF31" s="36">
        <v>0.51041666666666663</v>
      </c>
      <c r="AG31" s="39">
        <f t="shared" si="8"/>
        <v>36</v>
      </c>
      <c r="AH31" s="39">
        <f t="shared" si="9"/>
        <v>62</v>
      </c>
      <c r="AI31">
        <f t="shared" si="10"/>
        <v>7</v>
      </c>
      <c r="AJ31">
        <f t="shared" si="11"/>
        <v>35</v>
      </c>
      <c r="AK31" s="36">
        <f>Table5[[#This Row],[Time Left]]-AC30</f>
        <v>5.5555555555556468E-3</v>
      </c>
      <c r="AM31" t="s">
        <v>90</v>
      </c>
      <c r="AN31" t="s">
        <v>123</v>
      </c>
      <c r="AO31" t="s">
        <v>124</v>
      </c>
      <c r="AP31" t="s">
        <v>125</v>
      </c>
      <c r="AQ31" t="s">
        <v>126</v>
      </c>
    </row>
    <row r="32" spans="1:43" ht="17" customHeight="1">
      <c r="A32" s="8" t="s">
        <v>97</v>
      </c>
      <c r="B32" s="5" t="s">
        <v>81</v>
      </c>
      <c r="C32" s="6">
        <v>0.37847222222222221</v>
      </c>
      <c r="D32" s="6">
        <v>0.43333333333333329</v>
      </c>
      <c r="E32" s="9">
        <f t="shared" si="0"/>
        <v>5.4861111111111083E-2</v>
      </c>
      <c r="H32" s="2" t="s">
        <v>99</v>
      </c>
      <c r="I32" s="2" t="s">
        <v>81</v>
      </c>
      <c r="J32" s="3">
        <v>0.71527777777777779</v>
      </c>
      <c r="K32" s="4"/>
      <c r="L32" s="1">
        <f t="shared" si="1"/>
        <v>-0.71527777777777779</v>
      </c>
      <c r="N32" s="5" t="s">
        <v>107</v>
      </c>
      <c r="O32" s="5" t="s">
        <v>81</v>
      </c>
      <c r="P32" s="6">
        <v>0.45</v>
      </c>
      <c r="Q32" s="6">
        <v>0.4826388888888889</v>
      </c>
      <c r="R32" s="18">
        <f t="shared" si="2"/>
        <v>3.2638888888888884E-2</v>
      </c>
      <c r="S32" s="1">
        <v>0.51041666666666663</v>
      </c>
      <c r="T32">
        <f t="shared" si="3"/>
        <v>34</v>
      </c>
      <c r="U32">
        <f t="shared" si="4"/>
        <v>5</v>
      </c>
      <c r="V32">
        <f t="shared" si="5"/>
        <v>6</v>
      </c>
      <c r="W32">
        <f t="shared" si="6"/>
        <v>2</v>
      </c>
      <c r="X32" s="1">
        <f>Table4[[#This Row],[Time Left]]-P31</f>
        <v>1.388888888888884E-3</v>
      </c>
      <c r="AA32" s="5" t="s">
        <v>109</v>
      </c>
      <c r="AB32" s="5" t="s">
        <v>83</v>
      </c>
      <c r="AC32" s="6">
        <v>0.46736111111111112</v>
      </c>
      <c r="AD32" s="6">
        <v>0.48958333333333331</v>
      </c>
      <c r="AE32" s="18">
        <f t="shared" si="7"/>
        <v>2.2222222222222199E-2</v>
      </c>
      <c r="AF32" s="36">
        <v>0.51041666666666663</v>
      </c>
      <c r="AG32" s="39">
        <f t="shared" si="8"/>
        <v>35</v>
      </c>
      <c r="AH32" s="39">
        <f t="shared" si="9"/>
        <v>59</v>
      </c>
      <c r="AI32">
        <f t="shared" si="10"/>
        <v>6</v>
      </c>
      <c r="AJ32">
        <f t="shared" si="11"/>
        <v>33</v>
      </c>
      <c r="AK32" s="1">
        <f>Table5[[#This Row],[Time Left]]-AC31</f>
        <v>4.1666666666665964E-3</v>
      </c>
      <c r="AL32" s="1">
        <v>0.38541666666666669</v>
      </c>
      <c r="AM32" s="1">
        <f t="shared" ref="AM32:AM40" si="12">AN3</f>
        <v>2.2222222222222199E-2</v>
      </c>
      <c r="AN32" s="1">
        <f t="shared" ref="AN32:AQ40" si="13">AO3-AN3</f>
        <v>3.4722222222222099E-3</v>
      </c>
      <c r="AO32" s="1">
        <f t="shared" si="13"/>
        <v>3.4722222222223209E-3</v>
      </c>
      <c r="AP32" s="1">
        <f t="shared" si="13"/>
        <v>6.9444444444438647E-4</v>
      </c>
      <c r="AQ32" s="1">
        <f t="shared" si="13"/>
        <v>6.9444444444438647E-4</v>
      </c>
    </row>
    <row r="33" spans="1:52" ht="17" customHeight="1">
      <c r="A33" s="8" t="s">
        <v>107</v>
      </c>
      <c r="B33" s="5" t="s">
        <v>81</v>
      </c>
      <c r="C33" s="6">
        <v>0.41249999999999998</v>
      </c>
      <c r="D33" s="6">
        <v>0.44097222222222221</v>
      </c>
      <c r="E33" s="9">
        <f t="shared" si="0"/>
        <v>2.8472222222222232E-2</v>
      </c>
      <c r="H33" s="2" t="s">
        <v>107</v>
      </c>
      <c r="I33" s="2" t="s">
        <v>81</v>
      </c>
      <c r="J33" s="3">
        <v>0.72222222222222221</v>
      </c>
      <c r="K33" s="3">
        <v>0.75347222222222221</v>
      </c>
      <c r="L33" s="1">
        <f t="shared" si="1"/>
        <v>3.125E-2</v>
      </c>
      <c r="N33" s="19" t="s">
        <v>108</v>
      </c>
      <c r="O33" s="19" t="s">
        <v>81</v>
      </c>
      <c r="P33" s="20">
        <v>0.45763888888888887</v>
      </c>
      <c r="Q33" s="20">
        <v>0.4861111111111111</v>
      </c>
      <c r="R33" s="21">
        <f t="shared" si="2"/>
        <v>2.8472222222222232E-2</v>
      </c>
      <c r="S33" s="1">
        <v>0.51041666666666663</v>
      </c>
      <c r="T33">
        <f t="shared" si="3"/>
        <v>33</v>
      </c>
      <c r="U33">
        <f t="shared" si="4"/>
        <v>38.5</v>
      </c>
      <c r="V33">
        <f t="shared" si="5"/>
        <v>5</v>
      </c>
      <c r="W33">
        <f t="shared" si="6"/>
        <v>20.5</v>
      </c>
      <c r="X33" s="1">
        <f>Table4[[#This Row],[Time Left]]-P32</f>
        <v>7.6388888888888618E-3</v>
      </c>
      <c r="AA33" s="19" t="s">
        <v>111</v>
      </c>
      <c r="AB33" s="19" t="s">
        <v>83</v>
      </c>
      <c r="AC33" s="20">
        <v>0.47291666666666671</v>
      </c>
      <c r="AD33" s="20">
        <v>0.49513888888888891</v>
      </c>
      <c r="AE33" s="21">
        <f t="shared" si="7"/>
        <v>2.2222222222222199E-2</v>
      </c>
      <c r="AF33" s="36">
        <v>0.51041666666666663</v>
      </c>
      <c r="AG33" s="39">
        <f t="shared" si="8"/>
        <v>34</v>
      </c>
      <c r="AH33" s="39">
        <f t="shared" si="9"/>
        <v>59</v>
      </c>
      <c r="AI33">
        <f t="shared" si="10"/>
        <v>5</v>
      </c>
      <c r="AJ33">
        <f t="shared" si="11"/>
        <v>33</v>
      </c>
      <c r="AK33" s="36">
        <f>Table5[[#This Row],[Time Left]]-AC32</f>
        <v>5.5555555555555913E-3</v>
      </c>
      <c r="AL33" s="1">
        <v>0.42708333333333331</v>
      </c>
      <c r="AM33" s="1">
        <f t="shared" si="12"/>
        <v>2.2222222222222199E-2</v>
      </c>
      <c r="AN33" s="1">
        <f t="shared" si="13"/>
        <v>3.1250000000000167E-3</v>
      </c>
      <c r="AO33" s="1">
        <f t="shared" si="13"/>
        <v>3.8194444444443476E-3</v>
      </c>
      <c r="AP33" s="1">
        <f t="shared" si="13"/>
        <v>3.4722222222230426E-4</v>
      </c>
      <c r="AQ33" s="1">
        <f t="shared" si="13"/>
        <v>3.4722222222224874E-4</v>
      </c>
    </row>
    <row r="34" spans="1:52" ht="17" customHeight="1">
      <c r="A34" s="8" t="s">
        <v>95</v>
      </c>
      <c r="B34" s="5" t="s">
        <v>81</v>
      </c>
      <c r="C34" s="6">
        <v>0.41944444444444451</v>
      </c>
      <c r="D34" s="7"/>
      <c r="E34" s="9">
        <f t="shared" ref="E34:E65" si="14">D34-C34</f>
        <v>-0.41944444444444451</v>
      </c>
      <c r="H34" s="2" t="s">
        <v>108</v>
      </c>
      <c r="I34" s="2" t="s">
        <v>81</v>
      </c>
      <c r="J34" s="3">
        <v>0.72777777777777775</v>
      </c>
      <c r="K34" s="3">
        <v>0.75902777777777775</v>
      </c>
      <c r="L34" s="1">
        <f t="shared" ref="L34:L65" si="15">K34-J34</f>
        <v>3.125E-2</v>
      </c>
      <c r="N34" s="5" t="s">
        <v>127</v>
      </c>
      <c r="O34" s="5" t="s">
        <v>81</v>
      </c>
      <c r="P34" s="6">
        <v>0.46250000000000002</v>
      </c>
      <c r="Q34" s="6">
        <v>0.49236111111111108</v>
      </c>
      <c r="R34" s="18">
        <f t="shared" ref="R34:R65" si="16">Q34-P34</f>
        <v>2.9861111111111061E-2</v>
      </c>
      <c r="S34" s="1">
        <v>0.51041666666666663</v>
      </c>
      <c r="T34">
        <f t="shared" ref="T34:T65" si="17">_xlfn.RANK.AVG($Q34,$Q$2:$Q$65,0)</f>
        <v>32</v>
      </c>
      <c r="U34">
        <f t="shared" ref="U34:U65" si="18">_xlfn.RANK.AVG(R34,$R$2:$R$65,0)</f>
        <v>25.5</v>
      </c>
      <c r="V34">
        <f t="shared" si="5"/>
        <v>4</v>
      </c>
      <c r="W34">
        <f t="shared" si="6"/>
        <v>12.5</v>
      </c>
      <c r="X34" s="1">
        <f>Table4[[#This Row],[Time Left]]-P33</f>
        <v>4.8611111111111494E-3</v>
      </c>
      <c r="AA34" s="5" t="s">
        <v>82</v>
      </c>
      <c r="AB34" s="5" t="s">
        <v>83</v>
      </c>
      <c r="AC34" s="6">
        <v>0.47430555555555548</v>
      </c>
      <c r="AD34" s="6">
        <v>0.50138888888888888</v>
      </c>
      <c r="AE34" s="18">
        <f t="shared" ref="AE34:AE65" si="19">AD34-AC34</f>
        <v>2.7083333333333404E-2</v>
      </c>
      <c r="AF34" s="36">
        <v>0.51041666666666663</v>
      </c>
      <c r="AG34" s="39">
        <f t="shared" ref="AG34:AG65" si="20">_xlfn.RANK.AVG($AD34,$AD$2:$AD$66,0)</f>
        <v>33</v>
      </c>
      <c r="AH34" s="39">
        <f t="shared" ref="AH34:AH65" si="21">_xlfn.RANK.AVG($AE34,$AE$2:$AE$65,0)</f>
        <v>6.5</v>
      </c>
      <c r="AI34">
        <f t="shared" si="10"/>
        <v>4</v>
      </c>
      <c r="AJ34">
        <f t="shared" si="11"/>
        <v>4.5</v>
      </c>
      <c r="AK34" s="1">
        <f>Table5[[#This Row],[Time Left]]-AC33</f>
        <v>1.3888888888887729E-3</v>
      </c>
      <c r="AL34" s="1">
        <v>0.46875</v>
      </c>
      <c r="AM34" s="1">
        <f t="shared" si="12"/>
        <v>1.7361111111111105E-2</v>
      </c>
      <c r="AN34" s="1">
        <f t="shared" si="13"/>
        <v>9.7222222222222709E-3</v>
      </c>
      <c r="AO34" s="1">
        <f t="shared" si="13"/>
        <v>1.0416666666666352E-3</v>
      </c>
      <c r="AP34" s="1">
        <f t="shared" si="13"/>
        <v>2.4305555555554914E-3</v>
      </c>
      <c r="AQ34" s="1">
        <f t="shared" si="13"/>
        <v>4.1666666666667074E-3</v>
      </c>
    </row>
    <row r="35" spans="1:52" ht="17" customHeight="1">
      <c r="A35" s="8" t="s">
        <v>99</v>
      </c>
      <c r="B35" s="5" t="s">
        <v>81</v>
      </c>
      <c r="C35" s="6">
        <v>0.41666666666666669</v>
      </c>
      <c r="D35" s="6">
        <v>0.43888888888888888</v>
      </c>
      <c r="E35" s="9">
        <f t="shared" si="14"/>
        <v>2.2222222222222199E-2</v>
      </c>
      <c r="H35" s="2" t="s">
        <v>113</v>
      </c>
      <c r="I35" s="2" t="s">
        <v>81</v>
      </c>
      <c r="J35" s="3">
        <v>0.73333333333333328</v>
      </c>
      <c r="K35" s="4"/>
      <c r="L35" s="1">
        <f t="shared" si="15"/>
        <v>-0.73333333333333328</v>
      </c>
      <c r="N35" s="19" t="s">
        <v>128</v>
      </c>
      <c r="O35" s="19" t="s">
        <v>81</v>
      </c>
      <c r="P35" s="20">
        <v>0.46805555555555561</v>
      </c>
      <c r="Q35" s="20">
        <v>0.49722222222222218</v>
      </c>
      <c r="R35" s="21">
        <f t="shared" si="16"/>
        <v>2.9166666666666563E-2</v>
      </c>
      <c r="S35" s="1">
        <v>0.51041666666666663</v>
      </c>
      <c r="T35">
        <f t="shared" si="17"/>
        <v>31</v>
      </c>
      <c r="U35">
        <f t="shared" si="18"/>
        <v>33.5</v>
      </c>
      <c r="V35">
        <f t="shared" si="5"/>
        <v>3</v>
      </c>
      <c r="W35">
        <f t="shared" si="6"/>
        <v>17.5</v>
      </c>
      <c r="X35" s="1">
        <f>Table4[[#This Row],[Time Left]]-P34</f>
        <v>5.5555555555555913E-3</v>
      </c>
      <c r="AA35" s="19" t="s">
        <v>114</v>
      </c>
      <c r="AB35" s="19" t="s">
        <v>83</v>
      </c>
      <c r="AC35" s="20">
        <v>0.47708333333333341</v>
      </c>
      <c r="AD35" s="20">
        <v>0.50347222222222221</v>
      </c>
      <c r="AE35" s="21">
        <f t="shared" si="19"/>
        <v>2.6388888888888795E-2</v>
      </c>
      <c r="AF35" s="36">
        <v>0.51041666666666663</v>
      </c>
      <c r="AG35" s="39">
        <f t="shared" si="20"/>
        <v>32</v>
      </c>
      <c r="AH35" s="39">
        <f t="shared" si="21"/>
        <v>24</v>
      </c>
      <c r="AI35">
        <f t="shared" si="10"/>
        <v>3</v>
      </c>
      <c r="AJ35">
        <f t="shared" si="11"/>
        <v>12</v>
      </c>
      <c r="AK35" s="36">
        <f>Table5[[#This Row],[Time Left]]-AC34</f>
        <v>2.7777777777779344E-3</v>
      </c>
      <c r="AL35" s="1">
        <v>0.51041666666666663</v>
      </c>
      <c r="AM35" s="1">
        <f t="shared" si="12"/>
        <v>2.2222222222222199E-2</v>
      </c>
      <c r="AN35" s="1">
        <f t="shared" si="13"/>
        <v>6.2500000000000194E-3</v>
      </c>
      <c r="AO35" s="1">
        <f t="shared" si="13"/>
        <v>3.4722222222220711E-4</v>
      </c>
      <c r="AP35" s="1">
        <f t="shared" si="13"/>
        <v>1.2152777777777318E-3</v>
      </c>
      <c r="AQ35" s="1">
        <f t="shared" si="13"/>
        <v>2.6041666666667268E-3</v>
      </c>
      <c r="AS35" t="s">
        <v>129</v>
      </c>
      <c r="AZ35" t="s">
        <v>130</v>
      </c>
    </row>
    <row r="36" spans="1:52" ht="17" customHeight="1">
      <c r="A36" s="8" t="s">
        <v>102</v>
      </c>
      <c r="B36" s="5" t="s">
        <v>81</v>
      </c>
      <c r="C36" s="6">
        <v>0.42083333333333328</v>
      </c>
      <c r="D36" s="6">
        <v>0.4513888888888889</v>
      </c>
      <c r="E36" s="9">
        <f t="shared" si="14"/>
        <v>3.0555555555555614E-2</v>
      </c>
      <c r="H36" s="2" t="s">
        <v>104</v>
      </c>
      <c r="I36" s="2" t="s">
        <v>81</v>
      </c>
      <c r="J36" s="3">
        <v>0.73819444444444449</v>
      </c>
      <c r="K36" s="4"/>
      <c r="L36" s="1">
        <f t="shared" si="15"/>
        <v>-0.73819444444444449</v>
      </c>
      <c r="N36" s="19" t="s">
        <v>97</v>
      </c>
      <c r="O36" s="19" t="s">
        <v>81</v>
      </c>
      <c r="P36" s="20">
        <v>0.47708333333333341</v>
      </c>
      <c r="Q36" s="20">
        <v>0.50763888888888886</v>
      </c>
      <c r="R36" s="21">
        <f t="shared" si="16"/>
        <v>3.0555555555555447E-2</v>
      </c>
      <c r="S36" s="1">
        <v>0.51041666666666663</v>
      </c>
      <c r="T36">
        <f t="shared" si="17"/>
        <v>30</v>
      </c>
      <c r="U36">
        <f t="shared" si="18"/>
        <v>18</v>
      </c>
      <c r="V36">
        <f t="shared" si="5"/>
        <v>2</v>
      </c>
      <c r="W36">
        <f t="shared" si="6"/>
        <v>7</v>
      </c>
      <c r="X36" s="1">
        <f>Table4[[#This Row],[Time Left]]-P35</f>
        <v>9.0277777777778012E-3</v>
      </c>
      <c r="AA36" s="5" t="s">
        <v>116</v>
      </c>
      <c r="AB36" s="5" t="s">
        <v>83</v>
      </c>
      <c r="AC36" s="6">
        <v>0.48194444444444451</v>
      </c>
      <c r="AD36" s="6">
        <v>0.50972222222222219</v>
      </c>
      <c r="AE36" s="18">
        <f t="shared" si="19"/>
        <v>2.7777777777777679E-2</v>
      </c>
      <c r="AF36" s="36">
        <v>0.51041666666666663</v>
      </c>
      <c r="AG36" s="39">
        <f t="shared" si="20"/>
        <v>30.5</v>
      </c>
      <c r="AH36" s="39">
        <f t="shared" si="21"/>
        <v>5</v>
      </c>
      <c r="AI36">
        <f t="shared" si="10"/>
        <v>1.5</v>
      </c>
      <c r="AJ36">
        <f t="shared" si="11"/>
        <v>3</v>
      </c>
      <c r="AK36" s="1">
        <f>Table5[[#This Row],[Time Left]]-AC35</f>
        <v>4.8611111111110938E-3</v>
      </c>
      <c r="AL36" s="1">
        <v>0.63541666666666663</v>
      </c>
      <c r="AM36" s="1">
        <f t="shared" si="12"/>
        <v>2.7083333333333348E-2</v>
      </c>
      <c r="AN36" s="1">
        <f t="shared" si="13"/>
        <v>6.9444444444444198E-4</v>
      </c>
      <c r="AO36" s="1">
        <f t="shared" si="13"/>
        <v>0</v>
      </c>
      <c r="AP36" s="1">
        <f t="shared" si="13"/>
        <v>3.4722222222222099E-4</v>
      </c>
      <c r="AQ36" s="1">
        <f t="shared" si="13"/>
        <v>3.4722222222222099E-4</v>
      </c>
      <c r="AS36" t="s">
        <v>131</v>
      </c>
    </row>
    <row r="37" spans="1:52" ht="17" customHeight="1">
      <c r="A37" s="8" t="s">
        <v>108</v>
      </c>
      <c r="B37" s="5" t="s">
        <v>81</v>
      </c>
      <c r="C37" s="6">
        <v>0.41736111111111113</v>
      </c>
      <c r="D37" s="6">
        <v>0.44513888888888892</v>
      </c>
      <c r="E37" s="9">
        <f t="shared" si="14"/>
        <v>2.777777777777779E-2</v>
      </c>
      <c r="H37" s="2" t="s">
        <v>82</v>
      </c>
      <c r="I37" s="2" t="s">
        <v>81</v>
      </c>
      <c r="J37" s="3">
        <v>0.74375000000000002</v>
      </c>
      <c r="K37" s="4"/>
      <c r="L37" s="1">
        <f t="shared" si="15"/>
        <v>-0.74375000000000002</v>
      </c>
      <c r="N37" s="5" t="s">
        <v>94</v>
      </c>
      <c r="O37" s="5" t="s">
        <v>81</v>
      </c>
      <c r="P37" s="6">
        <v>0.48125000000000001</v>
      </c>
      <c r="Q37" s="6">
        <v>0.50972222222222219</v>
      </c>
      <c r="R37" s="18">
        <f t="shared" si="16"/>
        <v>2.8472222222222177E-2</v>
      </c>
      <c r="S37" s="1">
        <v>0.51041666666666663</v>
      </c>
      <c r="T37">
        <f t="shared" si="17"/>
        <v>29</v>
      </c>
      <c r="U37">
        <f t="shared" si="18"/>
        <v>42</v>
      </c>
      <c r="V37">
        <f t="shared" si="5"/>
        <v>1</v>
      </c>
      <c r="W37">
        <f t="shared" si="6"/>
        <v>22</v>
      </c>
      <c r="X37" s="1">
        <f>Table4[[#This Row],[Time Left]]-P36</f>
        <v>4.1666666666665964E-3</v>
      </c>
      <c r="AA37" s="19" t="s">
        <v>98</v>
      </c>
      <c r="AB37" s="19" t="s">
        <v>83</v>
      </c>
      <c r="AC37" s="20">
        <v>0.48680555555555549</v>
      </c>
      <c r="AD37" s="20">
        <v>0.50972222222222219</v>
      </c>
      <c r="AE37" s="21">
        <f t="shared" si="19"/>
        <v>2.2916666666666696E-2</v>
      </c>
      <c r="AF37" s="36">
        <v>0.51041666666666663</v>
      </c>
      <c r="AG37" s="39">
        <f t="shared" si="20"/>
        <v>30.5</v>
      </c>
      <c r="AH37" s="39">
        <f t="shared" si="21"/>
        <v>52.5</v>
      </c>
      <c r="AI37">
        <f t="shared" si="10"/>
        <v>1.5</v>
      </c>
      <c r="AJ37">
        <f t="shared" si="11"/>
        <v>29.5</v>
      </c>
      <c r="AK37" s="36">
        <f>Table5[[#This Row],[Time Left]]-AC36</f>
        <v>4.8611111111109828E-3</v>
      </c>
      <c r="AL37" s="1">
        <v>0.67708333333333337</v>
      </c>
      <c r="AM37" s="1">
        <f t="shared" si="12"/>
        <v>2.5000000000000022E-2</v>
      </c>
      <c r="AN37" s="1">
        <f t="shared" si="13"/>
        <v>2.6041666666666574E-3</v>
      </c>
      <c r="AO37" s="1">
        <f t="shared" si="13"/>
        <v>1.7361111111111049E-4</v>
      </c>
      <c r="AP37" s="1">
        <f t="shared" si="13"/>
        <v>6.9444444444435871E-4</v>
      </c>
      <c r="AQ37" s="1">
        <f t="shared" si="13"/>
        <v>6.944444444444503E-3</v>
      </c>
    </row>
    <row r="38" spans="1:52" ht="17" customHeight="1">
      <c r="A38" s="8" t="s">
        <v>104</v>
      </c>
      <c r="B38" s="5" t="s">
        <v>81</v>
      </c>
      <c r="C38" s="6">
        <v>0.42916666666666659</v>
      </c>
      <c r="D38" s="6">
        <v>0.45624999999999999</v>
      </c>
      <c r="E38" s="9">
        <f t="shared" si="14"/>
        <v>2.7083333333333404E-2</v>
      </c>
      <c r="H38" s="2" t="s">
        <v>97</v>
      </c>
      <c r="I38" s="2" t="s">
        <v>81</v>
      </c>
      <c r="J38" s="3">
        <v>0.74861111111111112</v>
      </c>
      <c r="K38" s="4"/>
      <c r="L38" s="1">
        <f t="shared" si="15"/>
        <v>-0.74861111111111112</v>
      </c>
      <c r="N38" s="19" t="s">
        <v>97</v>
      </c>
      <c r="O38" s="19" t="s">
        <v>81</v>
      </c>
      <c r="P38" s="20">
        <v>0.59375</v>
      </c>
      <c r="Q38" s="20">
        <v>0.62222222222222223</v>
      </c>
      <c r="R38" s="21">
        <f t="shared" si="16"/>
        <v>2.8472222222222232E-2</v>
      </c>
      <c r="S38" s="1">
        <v>0.63541666666666663</v>
      </c>
      <c r="T38">
        <f t="shared" si="17"/>
        <v>28</v>
      </c>
      <c r="U38">
        <f t="shared" si="18"/>
        <v>38.5</v>
      </c>
      <c r="V38">
        <f t="shared" ref="V38:V65" si="22">_xlfn.RANK.AVG($Q38,$Q$38:$Q$65,0)</f>
        <v>28</v>
      </c>
      <c r="W38">
        <f t="shared" ref="W38:W65" si="23">_xlfn.RANK.AVG($R38,$R$38:$R$65,0)</f>
        <v>18.5</v>
      </c>
      <c r="X38" s="41"/>
      <c r="AA38" s="5" t="s">
        <v>98</v>
      </c>
      <c r="AB38" s="5" t="s">
        <v>83</v>
      </c>
      <c r="AC38" s="6">
        <v>0.58819444444444446</v>
      </c>
      <c r="AD38" s="6">
        <v>0.61458333333333337</v>
      </c>
      <c r="AE38" s="18">
        <f t="shared" si="19"/>
        <v>2.6388888888888906E-2</v>
      </c>
      <c r="AF38" s="1">
        <v>0.63541666666666663</v>
      </c>
      <c r="AG38">
        <f t="shared" si="20"/>
        <v>29</v>
      </c>
      <c r="AH38">
        <f t="shared" si="21"/>
        <v>19.5</v>
      </c>
      <c r="AI38">
        <f t="shared" ref="AI38:AI66" si="24">_xlfn.RANK.AVG($AD38,$AD$38:$AD$66,0)</f>
        <v>29</v>
      </c>
      <c r="AJ38">
        <f t="shared" ref="AJ38:AJ66" si="25">_xlfn.RANK.AVG($AE38,$AE$38:$AE$66,0)</f>
        <v>10</v>
      </c>
      <c r="AK38" s="41"/>
      <c r="AL38" s="1">
        <v>0.71875</v>
      </c>
      <c r="AM38" s="1">
        <f t="shared" si="12"/>
        <v>2.8472222222222232E-2</v>
      </c>
      <c r="AN38" s="1">
        <f t="shared" si="13"/>
        <v>6.9444444444444198E-4</v>
      </c>
      <c r="AO38" s="1">
        <f t="shared" si="13"/>
        <v>6.9444444444444198E-4</v>
      </c>
      <c r="AP38" s="1">
        <f t="shared" si="13"/>
        <v>1.388888888888884E-3</v>
      </c>
      <c r="AQ38" s="1">
        <f t="shared" si="13"/>
        <v>2.0833333333333259E-3</v>
      </c>
    </row>
    <row r="39" spans="1:52" ht="17" customHeight="1">
      <c r="A39" s="8" t="s">
        <v>113</v>
      </c>
      <c r="B39" s="5" t="s">
        <v>81</v>
      </c>
      <c r="C39" s="6">
        <v>0.42986111111111108</v>
      </c>
      <c r="D39" s="6">
        <v>0.45694444444444438</v>
      </c>
      <c r="E39" s="9">
        <f t="shared" si="14"/>
        <v>2.7083333333333293E-2</v>
      </c>
      <c r="H39" s="2" t="s">
        <v>94</v>
      </c>
      <c r="I39" s="2" t="s">
        <v>81</v>
      </c>
      <c r="J39" s="4"/>
      <c r="K39" s="4"/>
      <c r="L39" s="1">
        <f t="shared" si="15"/>
        <v>0</v>
      </c>
      <c r="N39" s="5" t="s">
        <v>94</v>
      </c>
      <c r="O39" s="5" t="s">
        <v>81</v>
      </c>
      <c r="P39" s="6">
        <v>0.59791666666666665</v>
      </c>
      <c r="Q39" s="6">
        <v>0.625</v>
      </c>
      <c r="R39" s="18">
        <f t="shared" si="16"/>
        <v>2.7083333333333348E-2</v>
      </c>
      <c r="S39" s="1">
        <v>0.63541666666666663</v>
      </c>
      <c r="T39">
        <f t="shared" si="17"/>
        <v>27</v>
      </c>
      <c r="U39">
        <f t="shared" si="18"/>
        <v>51.5</v>
      </c>
      <c r="V39">
        <f t="shared" si="22"/>
        <v>27</v>
      </c>
      <c r="W39">
        <f t="shared" si="23"/>
        <v>26.5</v>
      </c>
      <c r="X39" s="1">
        <f>Table4[[#This Row],[Time Left]]-P38</f>
        <v>4.1666666666666519E-3</v>
      </c>
      <c r="AA39" s="19" t="s">
        <v>105</v>
      </c>
      <c r="AB39" s="19" t="s">
        <v>83</v>
      </c>
      <c r="AC39" s="20">
        <v>0.59444444444444444</v>
      </c>
      <c r="AD39" s="20">
        <v>0.61736111111111114</v>
      </c>
      <c r="AE39" s="21">
        <f t="shared" si="19"/>
        <v>2.2916666666666696E-2</v>
      </c>
      <c r="AF39" s="1">
        <v>0.63541666666666663</v>
      </c>
      <c r="AG39">
        <f t="shared" si="20"/>
        <v>28</v>
      </c>
      <c r="AH39">
        <f t="shared" si="21"/>
        <v>52.5</v>
      </c>
      <c r="AI39">
        <f t="shared" si="24"/>
        <v>28</v>
      </c>
      <c r="AJ39">
        <f t="shared" si="25"/>
        <v>24.5</v>
      </c>
      <c r="AK39" s="36">
        <f>Table5[[#This Row],[Time Left]]-AC38</f>
        <v>6.2499999999999778E-3</v>
      </c>
      <c r="AL39" s="1">
        <v>0.76041666666666663</v>
      </c>
      <c r="AM39" s="1">
        <f t="shared" si="12"/>
        <v>2.9166666666666674E-2</v>
      </c>
      <c r="AN39" s="1">
        <f t="shared" si="13"/>
        <v>1.2152777777777735E-3</v>
      </c>
      <c r="AO39" s="1">
        <f t="shared" si="13"/>
        <v>8.6805555555555247E-4</v>
      </c>
      <c r="AP39" s="1">
        <f t="shared" si="13"/>
        <v>1.7361111111111049E-4</v>
      </c>
      <c r="AQ39" s="1">
        <f t="shared" si="13"/>
        <v>1.2152777777777735E-3</v>
      </c>
    </row>
    <row r="40" spans="1:52" ht="17" customHeight="1">
      <c r="A40" s="8" t="s">
        <v>110</v>
      </c>
      <c r="B40" s="5" t="s">
        <v>81</v>
      </c>
      <c r="C40" s="6">
        <v>0.43333333333333329</v>
      </c>
      <c r="D40" s="7"/>
      <c r="E40" s="9">
        <f t="shared" si="14"/>
        <v>-0.43333333333333329</v>
      </c>
      <c r="H40" s="2" t="s">
        <v>105</v>
      </c>
      <c r="I40" s="2" t="s">
        <v>83</v>
      </c>
      <c r="J40" s="3">
        <v>0.59444444444444444</v>
      </c>
      <c r="K40" s="3">
        <v>0.61736111111111114</v>
      </c>
      <c r="L40" s="1">
        <f t="shared" si="15"/>
        <v>2.2916666666666696E-2</v>
      </c>
      <c r="N40" s="5" t="s">
        <v>99</v>
      </c>
      <c r="O40" s="5" t="s">
        <v>81</v>
      </c>
      <c r="P40" s="6">
        <v>0.60347222222222219</v>
      </c>
      <c r="Q40" s="6">
        <v>0.63124999999999998</v>
      </c>
      <c r="R40" s="18">
        <f t="shared" si="16"/>
        <v>2.777777777777779E-2</v>
      </c>
      <c r="S40" s="1">
        <v>0.63541666666666663</v>
      </c>
      <c r="T40">
        <f t="shared" si="17"/>
        <v>26</v>
      </c>
      <c r="U40">
        <f t="shared" si="18"/>
        <v>46.5</v>
      </c>
      <c r="V40">
        <f t="shared" si="22"/>
        <v>26</v>
      </c>
      <c r="W40">
        <f t="shared" si="23"/>
        <v>23.5</v>
      </c>
      <c r="X40" s="1">
        <f>Table4[[#This Row],[Time Left]]-P39</f>
        <v>5.5555555555555358E-3</v>
      </c>
      <c r="AA40" s="19" t="s">
        <v>103</v>
      </c>
      <c r="AB40" s="19" t="s">
        <v>83</v>
      </c>
      <c r="AC40" s="20">
        <v>0.59861111111111109</v>
      </c>
      <c r="AD40" s="20">
        <v>0.62222222222222223</v>
      </c>
      <c r="AE40" s="21">
        <f t="shared" si="19"/>
        <v>2.3611111111111138E-2</v>
      </c>
      <c r="AF40" s="1">
        <v>0.63541666666666663</v>
      </c>
      <c r="AG40">
        <f t="shared" si="20"/>
        <v>27</v>
      </c>
      <c r="AH40">
        <f t="shared" si="21"/>
        <v>47</v>
      </c>
      <c r="AI40">
        <f t="shared" si="24"/>
        <v>27</v>
      </c>
      <c r="AJ40">
        <f t="shared" si="25"/>
        <v>22</v>
      </c>
      <c r="AK40" s="36">
        <f>Table5[[#This Row],[Time Left]]-AC39</f>
        <v>4.1666666666666519E-3</v>
      </c>
      <c r="AL40" t="s">
        <v>117</v>
      </c>
      <c r="AM40" s="1">
        <f t="shared" si="12"/>
        <v>1.7361111111111105E-2</v>
      </c>
      <c r="AN40" s="1">
        <f t="shared" si="13"/>
        <v>1.0416666666666685E-2</v>
      </c>
      <c r="AO40" s="1">
        <f t="shared" si="13"/>
        <v>1.3888888888888007E-3</v>
      </c>
      <c r="AP40" s="1">
        <f t="shared" si="13"/>
        <v>1.3888888888889117E-3</v>
      </c>
      <c r="AQ40" s="1">
        <f t="shared" si="13"/>
        <v>4.8611111111111494E-3</v>
      </c>
    </row>
    <row r="41" spans="1:52" ht="17" customHeight="1">
      <c r="A41" s="8" t="s">
        <v>115</v>
      </c>
      <c r="B41" s="5" t="s">
        <v>81</v>
      </c>
      <c r="C41" s="6">
        <v>0.43611111111111112</v>
      </c>
      <c r="D41" s="7"/>
      <c r="E41" s="9">
        <f t="shared" si="14"/>
        <v>-0.43611111111111112</v>
      </c>
      <c r="H41" s="2" t="s">
        <v>98</v>
      </c>
      <c r="I41" s="2" t="s">
        <v>83</v>
      </c>
      <c r="J41" s="3">
        <v>0.58819444444444446</v>
      </c>
      <c r="K41" s="3">
        <v>0.61458333333333337</v>
      </c>
      <c r="L41" s="1">
        <f t="shared" si="15"/>
        <v>2.6388888888888906E-2</v>
      </c>
      <c r="N41" s="19" t="s">
        <v>107</v>
      </c>
      <c r="O41" s="19" t="s">
        <v>81</v>
      </c>
      <c r="P41" s="20">
        <v>0.60833333333333328</v>
      </c>
      <c r="Q41" s="20">
        <v>0.63611111111111107</v>
      </c>
      <c r="R41" s="21">
        <f t="shared" si="16"/>
        <v>2.777777777777779E-2</v>
      </c>
      <c r="S41" s="1">
        <v>0.67708333333333337</v>
      </c>
      <c r="T41">
        <f t="shared" si="17"/>
        <v>25</v>
      </c>
      <c r="U41">
        <f t="shared" si="18"/>
        <v>46.5</v>
      </c>
      <c r="V41">
        <f t="shared" si="22"/>
        <v>25</v>
      </c>
      <c r="W41">
        <f t="shared" si="23"/>
        <v>23.5</v>
      </c>
      <c r="X41" s="1">
        <f>Table4[[#This Row],[Time Left]]-P40</f>
        <v>4.8611111111110938E-3</v>
      </c>
      <c r="AA41" s="5" t="s">
        <v>109</v>
      </c>
      <c r="AB41" s="5" t="s">
        <v>83</v>
      </c>
      <c r="AC41" s="6">
        <v>0.6020833333333333</v>
      </c>
      <c r="AD41" s="6">
        <v>0.62777777777777777</v>
      </c>
      <c r="AE41" s="18">
        <f t="shared" si="19"/>
        <v>2.5694444444444464E-2</v>
      </c>
      <c r="AF41" s="1">
        <v>0.63541666666666663</v>
      </c>
      <c r="AG41">
        <f t="shared" si="20"/>
        <v>26</v>
      </c>
      <c r="AH41">
        <f t="shared" si="21"/>
        <v>26.5</v>
      </c>
      <c r="AI41">
        <f t="shared" si="24"/>
        <v>26</v>
      </c>
      <c r="AJ41">
        <f t="shared" si="25"/>
        <v>14.5</v>
      </c>
      <c r="AK41" s="1">
        <f>Table5[[#This Row],[Time Left]]-AC40</f>
        <v>3.4722222222222099E-3</v>
      </c>
      <c r="AN41" t="s">
        <v>117</v>
      </c>
      <c r="AO41" t="s">
        <v>132</v>
      </c>
      <c r="AP41" t="s">
        <v>133</v>
      </c>
    </row>
    <row r="42" spans="1:52" ht="17" customHeight="1">
      <c r="A42" s="8" t="s">
        <v>97</v>
      </c>
      <c r="B42" s="5" t="s">
        <v>81</v>
      </c>
      <c r="C42" s="6">
        <v>0.41875000000000001</v>
      </c>
      <c r="D42" s="6">
        <v>0.46875</v>
      </c>
      <c r="E42" s="9">
        <f t="shared" si="14"/>
        <v>4.9999999999999989E-2</v>
      </c>
      <c r="H42" s="2" t="s">
        <v>103</v>
      </c>
      <c r="I42" s="2" t="s">
        <v>83</v>
      </c>
      <c r="J42" s="3">
        <v>0.59861111111111109</v>
      </c>
      <c r="K42" s="3">
        <v>0.62222222222222223</v>
      </c>
      <c r="L42" s="1">
        <f t="shared" si="15"/>
        <v>2.3611111111111138E-2</v>
      </c>
      <c r="N42" s="5" t="s">
        <v>108</v>
      </c>
      <c r="O42" s="5" t="s">
        <v>81</v>
      </c>
      <c r="P42" s="6">
        <v>0.61388888888888893</v>
      </c>
      <c r="Q42" s="6">
        <v>0.64236111111111116</v>
      </c>
      <c r="R42" s="18">
        <f t="shared" si="16"/>
        <v>2.8472222222222232E-2</v>
      </c>
      <c r="S42" s="1">
        <v>0.67708333333333337</v>
      </c>
      <c r="T42">
        <f t="shared" si="17"/>
        <v>24</v>
      </c>
      <c r="U42">
        <f t="shared" si="18"/>
        <v>38.5</v>
      </c>
      <c r="V42">
        <f t="shared" si="22"/>
        <v>24</v>
      </c>
      <c r="W42">
        <f t="shared" si="23"/>
        <v>18.5</v>
      </c>
      <c r="X42" s="1">
        <f>Table4[[#This Row],[Time Left]]-P41</f>
        <v>5.5555555555556468E-3</v>
      </c>
      <c r="AA42" s="19" t="s">
        <v>111</v>
      </c>
      <c r="AB42" s="19" t="s">
        <v>83</v>
      </c>
      <c r="AC42" s="20">
        <v>0.60902777777777772</v>
      </c>
      <c r="AD42" s="20">
        <v>0.63124999999999998</v>
      </c>
      <c r="AE42" s="21">
        <f t="shared" si="19"/>
        <v>2.2222222222222254E-2</v>
      </c>
      <c r="AF42" s="1">
        <v>0.63541666666666663</v>
      </c>
      <c r="AG42">
        <f t="shared" si="20"/>
        <v>25</v>
      </c>
      <c r="AH42">
        <f t="shared" si="21"/>
        <v>57</v>
      </c>
      <c r="AI42">
        <f t="shared" si="24"/>
        <v>25</v>
      </c>
      <c r="AJ42">
        <f t="shared" si="25"/>
        <v>27</v>
      </c>
      <c r="AK42" s="36">
        <f>Table5[[#This Row],[Time Left]]-AC41</f>
        <v>6.9444444444444198E-3</v>
      </c>
      <c r="AL42" t="s">
        <v>134</v>
      </c>
      <c r="AN42">
        <f>PEARSON(Q2:Q65,R2:R65)</f>
        <v>0.3624150930890559</v>
      </c>
      <c r="AO42">
        <f>PEARSON(Q2:Q37,R2:R37)</f>
        <v>9.4727740335173213E-2</v>
      </c>
      <c r="AP42">
        <f>PEARSON(Q38:Q65,R38:R65)</f>
        <v>0.52883881224715534</v>
      </c>
    </row>
    <row r="43" spans="1:52" ht="17" customHeight="1">
      <c r="A43" s="8" t="s">
        <v>94</v>
      </c>
      <c r="B43" s="5" t="s">
        <v>81</v>
      </c>
      <c r="C43" s="6">
        <v>0.44236111111111109</v>
      </c>
      <c r="D43" s="6">
        <v>0.4597222222222222</v>
      </c>
      <c r="E43" s="9">
        <f t="shared" si="14"/>
        <v>1.7361111111111105E-2</v>
      </c>
      <c r="H43" s="2" t="s">
        <v>109</v>
      </c>
      <c r="I43" s="2" t="s">
        <v>83</v>
      </c>
      <c r="J43" s="3">
        <v>0.6020833333333333</v>
      </c>
      <c r="K43" s="3">
        <v>0.62777777777777777</v>
      </c>
      <c r="L43" s="1">
        <f t="shared" si="15"/>
        <v>2.5694444444444464E-2</v>
      </c>
      <c r="N43" s="19" t="s">
        <v>113</v>
      </c>
      <c r="O43" s="19" t="s">
        <v>81</v>
      </c>
      <c r="P43" s="20">
        <v>0.62083333333333335</v>
      </c>
      <c r="Q43" s="20">
        <v>0.64583333333333337</v>
      </c>
      <c r="R43" s="21">
        <f t="shared" si="16"/>
        <v>2.5000000000000022E-2</v>
      </c>
      <c r="S43" s="1">
        <v>0.67708333333333337</v>
      </c>
      <c r="T43">
        <f t="shared" si="17"/>
        <v>23</v>
      </c>
      <c r="U43">
        <f t="shared" si="18"/>
        <v>57.5</v>
      </c>
      <c r="V43">
        <f t="shared" si="22"/>
        <v>23</v>
      </c>
      <c r="W43">
        <f t="shared" si="23"/>
        <v>28</v>
      </c>
      <c r="X43" s="1">
        <f>Table4[[#This Row],[Time Left]]-P42</f>
        <v>6.9444444444444198E-3</v>
      </c>
      <c r="AA43" s="5" t="s">
        <v>135</v>
      </c>
      <c r="AB43" s="5" t="s">
        <v>83</v>
      </c>
      <c r="AC43" s="6">
        <v>0.61319444444444449</v>
      </c>
      <c r="AD43" s="6">
        <v>0.63611111111111107</v>
      </c>
      <c r="AE43" s="18">
        <f t="shared" si="19"/>
        <v>2.2916666666666585E-2</v>
      </c>
      <c r="AF43" s="1">
        <v>0.67708333333333337</v>
      </c>
      <c r="AG43">
        <f t="shared" si="20"/>
        <v>24</v>
      </c>
      <c r="AH43">
        <f t="shared" si="21"/>
        <v>56</v>
      </c>
      <c r="AI43">
        <f t="shared" si="24"/>
        <v>24</v>
      </c>
      <c r="AJ43">
        <f t="shared" si="25"/>
        <v>26</v>
      </c>
      <c r="AK43" s="1">
        <f>Table5[[#This Row],[Time Left]]-AC42</f>
        <v>4.1666666666667629E-3</v>
      </c>
      <c r="AN43">
        <f>PEARSON(S2:S65,R2:R65)</f>
        <v>0.36986441693639815</v>
      </c>
      <c r="AO43">
        <f>PEARSON(S2:S37,R2:R37)</f>
        <v>0.13827944252141586</v>
      </c>
      <c r="AP43">
        <f>PEARSON(S38:S65,R38:R65)</f>
        <v>0.52171334172919404</v>
      </c>
    </row>
    <row r="44" spans="1:52" ht="17" customHeight="1">
      <c r="A44" s="8" t="s">
        <v>99</v>
      </c>
      <c r="B44" s="5" t="s">
        <v>81</v>
      </c>
      <c r="C44" s="6">
        <v>0.44861111111111113</v>
      </c>
      <c r="D44" s="6">
        <v>0.47708333333333341</v>
      </c>
      <c r="E44" s="9">
        <f t="shared" si="14"/>
        <v>2.8472222222222288E-2</v>
      </c>
      <c r="H44" s="2" t="s">
        <v>111</v>
      </c>
      <c r="I44" s="2" t="s">
        <v>83</v>
      </c>
      <c r="J44" s="3">
        <v>0.60902777777777772</v>
      </c>
      <c r="K44" s="3">
        <v>0.63124999999999998</v>
      </c>
      <c r="L44" s="1">
        <f t="shared" si="15"/>
        <v>2.2222222222222254E-2</v>
      </c>
      <c r="N44" s="19" t="s">
        <v>82</v>
      </c>
      <c r="O44" s="19" t="s">
        <v>81</v>
      </c>
      <c r="P44" s="20">
        <v>0.62847222222222221</v>
      </c>
      <c r="Q44" s="20">
        <v>0.65625</v>
      </c>
      <c r="R44" s="21">
        <f t="shared" si="16"/>
        <v>2.777777777777779E-2</v>
      </c>
      <c r="S44" s="1">
        <v>0.67708333333333337</v>
      </c>
      <c r="T44">
        <f t="shared" si="17"/>
        <v>22</v>
      </c>
      <c r="U44">
        <f t="shared" si="18"/>
        <v>46.5</v>
      </c>
      <c r="V44">
        <f t="shared" si="22"/>
        <v>22</v>
      </c>
      <c r="W44">
        <f t="shared" si="23"/>
        <v>23.5</v>
      </c>
      <c r="X44" s="1">
        <f>Table4[[#This Row],[Time Left]]-P43</f>
        <v>7.6388888888888618E-3</v>
      </c>
      <c r="AA44" s="19" t="s">
        <v>116</v>
      </c>
      <c r="AB44" s="19" t="s">
        <v>83</v>
      </c>
      <c r="AC44" s="20">
        <v>0.61805555555555558</v>
      </c>
      <c r="AD44" s="20">
        <v>0.6430555555555556</v>
      </c>
      <c r="AE44" s="21">
        <f t="shared" si="19"/>
        <v>2.5000000000000022E-2</v>
      </c>
      <c r="AF44" s="1">
        <v>0.67708333333333337</v>
      </c>
      <c r="AG44">
        <f t="shared" si="20"/>
        <v>23</v>
      </c>
      <c r="AH44">
        <f t="shared" si="21"/>
        <v>33.5</v>
      </c>
      <c r="AI44">
        <f t="shared" si="24"/>
        <v>23</v>
      </c>
      <c r="AJ44">
        <f t="shared" si="25"/>
        <v>16</v>
      </c>
      <c r="AK44" s="36">
        <f>Table5[[#This Row],[Time Left]]-AC43</f>
        <v>4.8611111111110938E-3</v>
      </c>
      <c r="AL44" t="s">
        <v>136</v>
      </c>
      <c r="AN44">
        <f>PEARSON(AD2:AD66,AE2:AE66)</f>
        <v>7.2916114866721768E-2</v>
      </c>
      <c r="AO44">
        <f>PEARSON(AD2:AD37,AE2:AE37)</f>
        <v>-0.26936126028001256</v>
      </c>
      <c r="AP44">
        <f>PEARSON(AD38:AD66,AE38:AE66)</f>
        <v>0.51421693310093486</v>
      </c>
    </row>
    <row r="45" spans="1:52" ht="19" customHeight="1">
      <c r="A45" s="8" t="s">
        <v>107</v>
      </c>
      <c r="B45" s="5" t="s">
        <v>81</v>
      </c>
      <c r="C45" s="6">
        <v>0.45</v>
      </c>
      <c r="D45" s="6">
        <v>0.4826388888888889</v>
      </c>
      <c r="E45" s="9">
        <f t="shared" si="14"/>
        <v>3.2638888888888884E-2</v>
      </c>
      <c r="H45" s="2" t="s">
        <v>135</v>
      </c>
      <c r="I45" s="2" t="s">
        <v>83</v>
      </c>
      <c r="J45" s="3">
        <v>0.61319444444444449</v>
      </c>
      <c r="K45" s="3">
        <v>0.63611111111111107</v>
      </c>
      <c r="L45" s="1">
        <f t="shared" si="15"/>
        <v>2.2916666666666585E-2</v>
      </c>
      <c r="N45" s="5" t="s">
        <v>104</v>
      </c>
      <c r="O45" s="5" t="s">
        <v>81</v>
      </c>
      <c r="P45" s="6">
        <v>0.62152777777777779</v>
      </c>
      <c r="Q45" s="6">
        <v>0.65694444444444444</v>
      </c>
      <c r="R45" s="18">
        <f t="shared" si="16"/>
        <v>3.5416666666666652E-2</v>
      </c>
      <c r="S45" s="1">
        <v>0.67708333333333337</v>
      </c>
      <c r="T45">
        <f t="shared" si="17"/>
        <v>21</v>
      </c>
      <c r="U45">
        <f t="shared" si="18"/>
        <v>1</v>
      </c>
      <c r="V45">
        <f t="shared" si="22"/>
        <v>21</v>
      </c>
      <c r="W45">
        <f t="shared" si="23"/>
        <v>1</v>
      </c>
      <c r="X45" s="1">
        <f>Table4[[#This Row],[Time Left]]-P44</f>
        <v>-6.9444444444444198E-3</v>
      </c>
      <c r="AA45" s="5" t="s">
        <v>98</v>
      </c>
      <c r="AB45" s="5" t="s">
        <v>83</v>
      </c>
      <c r="AC45" s="6">
        <v>0.62361111111111112</v>
      </c>
      <c r="AD45" s="6">
        <v>0.65</v>
      </c>
      <c r="AE45" s="18">
        <f t="shared" si="19"/>
        <v>2.6388888888888906E-2</v>
      </c>
      <c r="AF45" s="1">
        <v>0.67708333333333337</v>
      </c>
      <c r="AG45">
        <f t="shared" si="20"/>
        <v>22</v>
      </c>
      <c r="AH45">
        <f t="shared" si="21"/>
        <v>19.5</v>
      </c>
      <c r="AI45">
        <f t="shared" si="24"/>
        <v>22</v>
      </c>
      <c r="AJ45">
        <f t="shared" si="25"/>
        <v>10</v>
      </c>
      <c r="AK45" s="1">
        <f>Table5[[#This Row],[Time Left]]-AC44</f>
        <v>5.5555555555555358E-3</v>
      </c>
      <c r="AN45">
        <f>PEARSON(AF2:AF66,AE2:AE66)</f>
        <v>6.9096453659505216E-2</v>
      </c>
      <c r="AO45">
        <f>PEARSON(AF2:AF37,AE2:AE37)</f>
        <v>-0.28104844451107824</v>
      </c>
      <c r="AP45">
        <f>PEARSON(AF38:AF66,AE38:AE66)</f>
        <v>0.50367431152159392</v>
      </c>
      <c r="AS45" s="38"/>
    </row>
    <row r="46" spans="1:52" ht="17" customHeight="1">
      <c r="A46" s="8" t="s">
        <v>108</v>
      </c>
      <c r="B46" s="5" t="s">
        <v>81</v>
      </c>
      <c r="C46" s="6">
        <v>0.45763888888888887</v>
      </c>
      <c r="D46" s="6">
        <v>0.4861111111111111</v>
      </c>
      <c r="E46" s="9">
        <f t="shared" si="14"/>
        <v>2.8472222222222232E-2</v>
      </c>
      <c r="H46" s="2" t="s">
        <v>116</v>
      </c>
      <c r="I46" s="2" t="s">
        <v>83</v>
      </c>
      <c r="J46" s="3">
        <v>0.61805555555555558</v>
      </c>
      <c r="K46" s="3">
        <v>0.6430555555555556</v>
      </c>
      <c r="L46" s="1">
        <f t="shared" si="15"/>
        <v>2.5000000000000022E-2</v>
      </c>
      <c r="N46" s="5" t="s">
        <v>97</v>
      </c>
      <c r="O46" s="5" t="s">
        <v>81</v>
      </c>
      <c r="P46" s="6">
        <v>0.6333333333333333</v>
      </c>
      <c r="Q46" s="6">
        <v>0.66111111111111109</v>
      </c>
      <c r="R46" s="18">
        <f t="shared" si="16"/>
        <v>2.777777777777779E-2</v>
      </c>
      <c r="S46" s="1">
        <v>0.67708333333333337</v>
      </c>
      <c r="T46">
        <f t="shared" si="17"/>
        <v>20</v>
      </c>
      <c r="U46">
        <f t="shared" si="18"/>
        <v>46.5</v>
      </c>
      <c r="V46">
        <f t="shared" si="22"/>
        <v>20</v>
      </c>
      <c r="W46">
        <f t="shared" si="23"/>
        <v>23.5</v>
      </c>
      <c r="X46" s="1">
        <f>Table4[[#This Row],[Time Left]]-P45</f>
        <v>1.1805555555555514E-2</v>
      </c>
      <c r="AA46" s="22" t="s">
        <v>105</v>
      </c>
      <c r="AB46" s="23" t="s">
        <v>83</v>
      </c>
      <c r="AC46" s="24">
        <v>0.62777777777777777</v>
      </c>
      <c r="AD46" s="24">
        <v>0.65138888888888891</v>
      </c>
      <c r="AE46" s="25">
        <f t="shared" si="19"/>
        <v>2.3611111111111138E-2</v>
      </c>
      <c r="AF46" s="1">
        <v>0.67708333333333337</v>
      </c>
      <c r="AG46">
        <f t="shared" si="20"/>
        <v>21</v>
      </c>
      <c r="AH46">
        <f t="shared" si="21"/>
        <v>47</v>
      </c>
      <c r="AI46">
        <f t="shared" si="24"/>
        <v>21</v>
      </c>
      <c r="AJ46">
        <f t="shared" si="25"/>
        <v>22</v>
      </c>
      <c r="AK46" s="36">
        <f>Table5[[#This Row],[Time Left]]-AC45</f>
        <v>4.1666666666666519E-3</v>
      </c>
    </row>
    <row r="47" spans="1:52" ht="17" customHeight="1">
      <c r="A47" s="8" t="s">
        <v>102</v>
      </c>
      <c r="B47" s="5" t="s">
        <v>81</v>
      </c>
      <c r="C47" s="6">
        <v>0.46180555555555558</v>
      </c>
      <c r="D47" s="7"/>
      <c r="E47" s="9">
        <f t="shared" si="14"/>
        <v>-0.46180555555555558</v>
      </c>
      <c r="H47" s="2" t="s">
        <v>98</v>
      </c>
      <c r="I47" s="2" t="s">
        <v>83</v>
      </c>
      <c r="J47" s="3">
        <v>0.62361111111111112</v>
      </c>
      <c r="K47" s="3">
        <v>0.65</v>
      </c>
      <c r="L47" s="1">
        <f t="shared" si="15"/>
        <v>2.6388888888888906E-2</v>
      </c>
      <c r="N47" s="19" t="s">
        <v>118</v>
      </c>
      <c r="O47" s="19" t="s">
        <v>81</v>
      </c>
      <c r="P47" s="20">
        <v>0.63680555555555551</v>
      </c>
      <c r="Q47" s="20">
        <v>0.66388888888888886</v>
      </c>
      <c r="R47" s="21">
        <f t="shared" si="16"/>
        <v>2.7083333333333348E-2</v>
      </c>
      <c r="S47" s="1">
        <v>0.67708333333333337</v>
      </c>
      <c r="T47">
        <f t="shared" si="17"/>
        <v>19</v>
      </c>
      <c r="U47">
        <f t="shared" si="18"/>
        <v>51.5</v>
      </c>
      <c r="V47">
        <f t="shared" si="22"/>
        <v>19</v>
      </c>
      <c r="W47">
        <f t="shared" si="23"/>
        <v>26.5</v>
      </c>
      <c r="X47" s="1">
        <f>Table4[[#This Row],[Time Left]]-P46</f>
        <v>3.4722222222222099E-3</v>
      </c>
      <c r="AA47" s="26" t="s">
        <v>103</v>
      </c>
      <c r="AB47" s="27" t="s">
        <v>83</v>
      </c>
      <c r="AC47" s="28">
        <v>0.63263888888888886</v>
      </c>
      <c r="AD47" s="28">
        <v>0.65555555555555556</v>
      </c>
      <c r="AE47" s="29">
        <f t="shared" si="19"/>
        <v>2.2916666666666696E-2</v>
      </c>
      <c r="AF47" s="1">
        <v>0.67708333333333337</v>
      </c>
      <c r="AG47">
        <f t="shared" si="20"/>
        <v>20</v>
      </c>
      <c r="AH47">
        <f t="shared" si="21"/>
        <v>52.5</v>
      </c>
      <c r="AI47">
        <f t="shared" si="24"/>
        <v>20</v>
      </c>
      <c r="AJ47">
        <f t="shared" si="25"/>
        <v>24.5</v>
      </c>
      <c r="AK47" s="1">
        <f>Table5[[#This Row],[Time Left]]-AC46</f>
        <v>4.8611111111110938E-3</v>
      </c>
    </row>
    <row r="48" spans="1:52" ht="17" customHeight="1">
      <c r="A48" s="8" t="s">
        <v>128</v>
      </c>
      <c r="B48" s="5" t="s">
        <v>81</v>
      </c>
      <c r="C48" s="6">
        <v>0.46805555555555561</v>
      </c>
      <c r="D48" s="6">
        <v>0.49722222222222218</v>
      </c>
      <c r="E48" s="9">
        <f t="shared" si="14"/>
        <v>2.9166666666666563E-2</v>
      </c>
      <c r="H48" s="2" t="s">
        <v>105</v>
      </c>
      <c r="I48" s="2" t="s">
        <v>83</v>
      </c>
      <c r="J48" s="3">
        <v>0.62777777777777777</v>
      </c>
      <c r="K48" s="3">
        <v>0.65138888888888891</v>
      </c>
      <c r="L48" s="1">
        <f t="shared" si="15"/>
        <v>2.3611111111111138E-2</v>
      </c>
      <c r="N48" s="5" t="s">
        <v>99</v>
      </c>
      <c r="O48" s="5" t="s">
        <v>81</v>
      </c>
      <c r="P48" s="6">
        <v>0.64236111111111116</v>
      </c>
      <c r="Q48" s="6">
        <v>0.67083333333333328</v>
      </c>
      <c r="R48" s="18">
        <f t="shared" si="16"/>
        <v>2.8472222222222121E-2</v>
      </c>
      <c r="S48" s="1">
        <v>0.67708333333333337</v>
      </c>
      <c r="T48">
        <f t="shared" si="17"/>
        <v>18</v>
      </c>
      <c r="U48">
        <f t="shared" si="18"/>
        <v>43</v>
      </c>
      <c r="V48">
        <f t="shared" si="22"/>
        <v>18</v>
      </c>
      <c r="W48">
        <f t="shared" si="23"/>
        <v>21</v>
      </c>
      <c r="X48" s="1">
        <f>Table4[[#This Row],[Time Left]]-P47</f>
        <v>5.5555555555556468E-3</v>
      </c>
      <c r="AA48" s="22" t="s">
        <v>109</v>
      </c>
      <c r="AB48" s="23" t="s">
        <v>83</v>
      </c>
      <c r="AC48" s="24">
        <v>0.6381944444444444</v>
      </c>
      <c r="AD48" s="24">
        <v>0.66249999999999998</v>
      </c>
      <c r="AE48" s="25">
        <f t="shared" si="19"/>
        <v>2.430555555555558E-2</v>
      </c>
      <c r="AF48" s="1">
        <v>0.67708333333333337</v>
      </c>
      <c r="AG48">
        <f t="shared" si="20"/>
        <v>19</v>
      </c>
      <c r="AH48">
        <f t="shared" si="21"/>
        <v>42</v>
      </c>
      <c r="AI48">
        <f t="shared" si="24"/>
        <v>19</v>
      </c>
      <c r="AJ48">
        <f t="shared" si="25"/>
        <v>18.5</v>
      </c>
      <c r="AK48" s="36">
        <f>Table5[[#This Row],[Time Left]]-AC47</f>
        <v>5.5555555555555358E-3</v>
      </c>
      <c r="AL48" t="s">
        <v>137</v>
      </c>
      <c r="AN48">
        <f>CORREL(T2:T65,U2:U65)</f>
        <v>0.35911023492314759</v>
      </c>
      <c r="AO48">
        <f>CORREL(V2:V37,W2:W37)</f>
        <v>2.4245602300406011E-2</v>
      </c>
      <c r="AP48">
        <f>CORREL(V38:V65,W38:W65)</f>
        <v>0.64069652388839271</v>
      </c>
    </row>
    <row r="49" spans="1:42" ht="17" customHeight="1">
      <c r="A49" s="8" t="s">
        <v>127</v>
      </c>
      <c r="B49" s="5" t="s">
        <v>81</v>
      </c>
      <c r="C49" s="6">
        <v>0.46250000000000002</v>
      </c>
      <c r="D49" s="6">
        <v>0.49236111111111108</v>
      </c>
      <c r="E49" s="9">
        <f t="shared" si="14"/>
        <v>2.9861111111111061E-2</v>
      </c>
      <c r="H49" s="2" t="s">
        <v>103</v>
      </c>
      <c r="I49" s="2" t="s">
        <v>83</v>
      </c>
      <c r="J49" s="3">
        <v>0.63263888888888886</v>
      </c>
      <c r="K49" s="3">
        <v>0.65555555555555556</v>
      </c>
      <c r="L49" s="1">
        <f t="shared" si="15"/>
        <v>2.2916666666666696E-2</v>
      </c>
      <c r="N49" s="5" t="s">
        <v>107</v>
      </c>
      <c r="O49" s="5" t="s">
        <v>81</v>
      </c>
      <c r="P49" s="6">
        <v>0.6479166666666667</v>
      </c>
      <c r="Q49" s="6">
        <v>0.67708333333333337</v>
      </c>
      <c r="R49" s="18">
        <f t="shared" si="16"/>
        <v>2.9166666666666674E-2</v>
      </c>
      <c r="S49" s="1">
        <v>0.71875</v>
      </c>
      <c r="T49">
        <f t="shared" si="17"/>
        <v>17</v>
      </c>
      <c r="U49">
        <f t="shared" si="18"/>
        <v>29.5</v>
      </c>
      <c r="V49">
        <f t="shared" si="22"/>
        <v>17</v>
      </c>
      <c r="W49">
        <f t="shared" si="23"/>
        <v>15</v>
      </c>
      <c r="X49" s="1">
        <f>Table4[[#This Row],[Time Left]]-P48</f>
        <v>5.5555555555555358E-3</v>
      </c>
      <c r="AA49" s="26" t="s">
        <v>111</v>
      </c>
      <c r="AB49" s="27" t="s">
        <v>83</v>
      </c>
      <c r="AC49" s="28">
        <v>0.6430555555555556</v>
      </c>
      <c r="AD49" s="28">
        <v>0.66527777777777775</v>
      </c>
      <c r="AE49" s="29">
        <f t="shared" si="19"/>
        <v>2.2222222222222143E-2</v>
      </c>
      <c r="AF49" s="1">
        <v>0.67708333333333337</v>
      </c>
      <c r="AG49">
        <f t="shared" si="20"/>
        <v>18</v>
      </c>
      <c r="AH49">
        <f t="shared" si="21"/>
        <v>61</v>
      </c>
      <c r="AI49">
        <f t="shared" si="24"/>
        <v>18</v>
      </c>
      <c r="AJ49">
        <f t="shared" si="25"/>
        <v>28</v>
      </c>
      <c r="AK49" s="1">
        <f>Table5[[#This Row],[Time Left]]-AC48</f>
        <v>4.8611111111112049E-3</v>
      </c>
      <c r="AL49" t="s">
        <v>138</v>
      </c>
      <c r="AN49">
        <f>CORREL(AG2:AG66,AH2:AH66)</f>
        <v>5.4748583369495021E-2</v>
      </c>
      <c r="AO49">
        <f>CORREL(AI2:AI37,AJ2:AJ37)</f>
        <v>-0.26595778433328637</v>
      </c>
      <c r="AP49">
        <f>CORREL(AI38:AI66,AJ38:AJ66)</f>
        <v>0.55179439203842817</v>
      </c>
    </row>
    <row r="50" spans="1:42" ht="17" customHeight="1">
      <c r="A50" s="8" t="s">
        <v>97</v>
      </c>
      <c r="B50" s="5" t="s">
        <v>81</v>
      </c>
      <c r="C50" s="6">
        <v>0.47708333333333341</v>
      </c>
      <c r="D50" s="6">
        <v>0.50763888888888886</v>
      </c>
      <c r="E50" s="9">
        <f t="shared" si="14"/>
        <v>3.0555555555555447E-2</v>
      </c>
      <c r="H50" s="2" t="s">
        <v>109</v>
      </c>
      <c r="I50" s="2" t="s">
        <v>83</v>
      </c>
      <c r="J50" s="3">
        <v>0.6381944444444444</v>
      </c>
      <c r="K50" s="3">
        <v>0.66249999999999998</v>
      </c>
      <c r="L50" s="1">
        <f t="shared" si="15"/>
        <v>2.430555555555558E-2</v>
      </c>
      <c r="N50" s="22" t="s">
        <v>108</v>
      </c>
      <c r="O50" s="23" t="s">
        <v>81</v>
      </c>
      <c r="P50" s="24">
        <v>0.65416666666666667</v>
      </c>
      <c r="Q50" s="24">
        <v>0.68263888888888891</v>
      </c>
      <c r="R50" s="25">
        <f t="shared" si="16"/>
        <v>2.8472222222222232E-2</v>
      </c>
      <c r="S50" s="1">
        <v>0.71875</v>
      </c>
      <c r="T50">
        <f t="shared" si="17"/>
        <v>16</v>
      </c>
      <c r="U50">
        <f t="shared" si="18"/>
        <v>38.5</v>
      </c>
      <c r="V50">
        <f t="shared" si="22"/>
        <v>16</v>
      </c>
      <c r="W50">
        <f t="shared" si="23"/>
        <v>18.5</v>
      </c>
      <c r="X50" s="1">
        <f>Table4[[#This Row],[Time Left]]-P49</f>
        <v>6.2499999999999778E-3</v>
      </c>
      <c r="AA50" s="22" t="s">
        <v>114</v>
      </c>
      <c r="AB50" s="23" t="s">
        <v>83</v>
      </c>
      <c r="AC50" s="24">
        <v>0.6479166666666667</v>
      </c>
      <c r="AD50" s="24">
        <v>0.66874999999999996</v>
      </c>
      <c r="AE50" s="25">
        <f t="shared" si="19"/>
        <v>2.0833333333333259E-2</v>
      </c>
      <c r="AF50" s="1">
        <v>0.67708333333333337</v>
      </c>
      <c r="AG50">
        <f t="shared" si="20"/>
        <v>17</v>
      </c>
      <c r="AH50">
        <f t="shared" si="21"/>
        <v>64</v>
      </c>
      <c r="AI50">
        <f t="shared" si="24"/>
        <v>17</v>
      </c>
      <c r="AJ50">
        <f t="shared" si="25"/>
        <v>29</v>
      </c>
      <c r="AK50" s="36">
        <f>Table5[[#This Row],[Time Left]]-AC49</f>
        <v>4.8611111111110938E-3</v>
      </c>
    </row>
    <row r="51" spans="1:42" ht="17" customHeight="1">
      <c r="A51" s="8" t="s">
        <v>94</v>
      </c>
      <c r="B51" s="5" t="s">
        <v>81</v>
      </c>
      <c r="C51" s="6">
        <v>0.48125000000000001</v>
      </c>
      <c r="D51" s="6">
        <v>0.50972222222222219</v>
      </c>
      <c r="E51" s="9">
        <f t="shared" si="14"/>
        <v>2.8472222222222177E-2</v>
      </c>
      <c r="H51" s="2" t="s">
        <v>111</v>
      </c>
      <c r="I51" s="2" t="s">
        <v>83</v>
      </c>
      <c r="J51" s="3">
        <v>0.6430555555555556</v>
      </c>
      <c r="K51" s="3">
        <v>0.66527777777777775</v>
      </c>
      <c r="L51" s="1">
        <f t="shared" si="15"/>
        <v>2.2222222222222143E-2</v>
      </c>
      <c r="N51" s="26" t="s">
        <v>113</v>
      </c>
      <c r="O51" s="27" t="s">
        <v>81</v>
      </c>
      <c r="P51" s="28">
        <v>0.65763888888888888</v>
      </c>
      <c r="Q51" s="28">
        <v>0.68888888888888888</v>
      </c>
      <c r="R51" s="29">
        <f t="shared" si="16"/>
        <v>3.125E-2</v>
      </c>
      <c r="S51" s="1">
        <v>0.71875</v>
      </c>
      <c r="T51">
        <f t="shared" si="17"/>
        <v>15</v>
      </c>
      <c r="U51">
        <f t="shared" si="18"/>
        <v>10</v>
      </c>
      <c r="V51">
        <f t="shared" si="22"/>
        <v>15</v>
      </c>
      <c r="W51">
        <f t="shared" si="23"/>
        <v>8</v>
      </c>
      <c r="X51" s="1">
        <f>Table4[[#This Row],[Time Left]]-P50</f>
        <v>3.4722222222222099E-3</v>
      </c>
      <c r="AA51" s="26" t="s">
        <v>116</v>
      </c>
      <c r="AB51" s="27" t="s">
        <v>83</v>
      </c>
      <c r="AC51" s="28">
        <v>0.65277777777777779</v>
      </c>
      <c r="AD51" s="28">
        <v>0.67708333333333337</v>
      </c>
      <c r="AE51" s="29">
        <f t="shared" si="19"/>
        <v>2.430555555555558E-2</v>
      </c>
      <c r="AF51" s="1">
        <v>0.71875</v>
      </c>
      <c r="AG51">
        <f t="shared" si="20"/>
        <v>16</v>
      </c>
      <c r="AH51">
        <f t="shared" si="21"/>
        <v>42</v>
      </c>
      <c r="AI51">
        <f t="shared" si="24"/>
        <v>16</v>
      </c>
      <c r="AJ51">
        <f t="shared" si="25"/>
        <v>18.5</v>
      </c>
      <c r="AK51" s="1">
        <f>Table5[[#This Row],[Time Left]]-AC50</f>
        <v>4.8611111111110938E-3</v>
      </c>
    </row>
    <row r="52" spans="1:42" ht="17" customHeight="1">
      <c r="A52" s="8" t="s">
        <v>99</v>
      </c>
      <c r="B52" s="5" t="s">
        <v>81</v>
      </c>
      <c r="C52" s="6">
        <v>0.48680555555555549</v>
      </c>
      <c r="D52" s="7"/>
      <c r="E52" s="9">
        <f t="shared" si="14"/>
        <v>-0.48680555555555549</v>
      </c>
      <c r="H52" s="2" t="s">
        <v>114</v>
      </c>
      <c r="I52" s="2" t="s">
        <v>83</v>
      </c>
      <c r="J52" s="3">
        <v>0.6479166666666667</v>
      </c>
      <c r="K52" s="3">
        <v>0.66874999999999996</v>
      </c>
      <c r="L52" s="1">
        <f t="shared" si="15"/>
        <v>2.0833333333333259E-2</v>
      </c>
      <c r="N52" s="26" t="s">
        <v>104</v>
      </c>
      <c r="O52" s="27" t="s">
        <v>81</v>
      </c>
      <c r="P52" s="28">
        <v>0.66041666666666665</v>
      </c>
      <c r="Q52" s="28">
        <v>0.69374999999999998</v>
      </c>
      <c r="R52" s="29">
        <f t="shared" si="16"/>
        <v>3.3333333333333326E-2</v>
      </c>
      <c r="S52" s="1">
        <v>0.71875</v>
      </c>
      <c r="T52">
        <f t="shared" si="17"/>
        <v>14</v>
      </c>
      <c r="U52">
        <f t="shared" si="18"/>
        <v>3</v>
      </c>
      <c r="V52">
        <f t="shared" si="22"/>
        <v>14</v>
      </c>
      <c r="W52">
        <f t="shared" si="23"/>
        <v>2</v>
      </c>
      <c r="X52" s="1">
        <f>Table4[[#This Row],[Time Left]]-P51</f>
        <v>2.7777777777777679E-3</v>
      </c>
      <c r="AA52" s="22" t="s">
        <v>98</v>
      </c>
      <c r="AB52" s="23" t="s">
        <v>83</v>
      </c>
      <c r="AC52" s="24">
        <v>0.65902777777777777</v>
      </c>
      <c r="AD52" s="24">
        <v>0.68333333333333335</v>
      </c>
      <c r="AE52" s="25">
        <f t="shared" si="19"/>
        <v>2.430555555555558E-2</v>
      </c>
      <c r="AF52" s="1">
        <v>0.71875</v>
      </c>
      <c r="AG52">
        <f t="shared" si="20"/>
        <v>15</v>
      </c>
      <c r="AH52">
        <f t="shared" si="21"/>
        <v>42</v>
      </c>
      <c r="AI52">
        <f t="shared" si="24"/>
        <v>15</v>
      </c>
      <c r="AJ52">
        <f t="shared" si="25"/>
        <v>18.5</v>
      </c>
      <c r="AK52" s="36">
        <f>Table5[[#This Row],[Time Left]]-AC51</f>
        <v>6.2499999999999778E-3</v>
      </c>
      <c r="AM52" s="72">
        <f>AVERAGE(AK3:AK66)</f>
        <v>4.4422398589065229E-3</v>
      </c>
    </row>
    <row r="53" spans="1:42" ht="17" customHeight="1">
      <c r="A53" s="8" t="s">
        <v>107</v>
      </c>
      <c r="B53" s="5" t="s">
        <v>81</v>
      </c>
      <c r="C53" s="6">
        <v>0.49236111111111108</v>
      </c>
      <c r="D53" s="7"/>
      <c r="E53" s="9">
        <f t="shared" si="14"/>
        <v>-0.49236111111111108</v>
      </c>
      <c r="H53" s="2" t="s">
        <v>116</v>
      </c>
      <c r="I53" s="2" t="s">
        <v>83</v>
      </c>
      <c r="J53" s="3">
        <v>0.65277777777777779</v>
      </c>
      <c r="K53" s="3">
        <v>0.67708333333333337</v>
      </c>
      <c r="L53" s="1">
        <f t="shared" si="15"/>
        <v>2.430555555555558E-2</v>
      </c>
      <c r="N53" s="22" t="s">
        <v>82</v>
      </c>
      <c r="O53" s="23" t="s">
        <v>81</v>
      </c>
      <c r="P53" s="24">
        <v>0.66736111111111107</v>
      </c>
      <c r="Q53" s="24">
        <v>0.6958333333333333</v>
      </c>
      <c r="R53" s="25">
        <f t="shared" si="16"/>
        <v>2.8472222222222232E-2</v>
      </c>
      <c r="S53" s="1">
        <v>0.71875</v>
      </c>
      <c r="T53">
        <f t="shared" si="17"/>
        <v>13</v>
      </c>
      <c r="U53">
        <f t="shared" si="18"/>
        <v>38.5</v>
      </c>
      <c r="V53">
        <f t="shared" si="22"/>
        <v>13</v>
      </c>
      <c r="W53">
        <f t="shared" si="23"/>
        <v>18.5</v>
      </c>
      <c r="X53" s="1">
        <f>Table4[[#This Row],[Time Left]]-P52</f>
        <v>6.9444444444444198E-3</v>
      </c>
      <c r="AA53" s="26" t="s">
        <v>139</v>
      </c>
      <c r="AB53" s="27" t="s">
        <v>83</v>
      </c>
      <c r="AC53" s="28">
        <v>0.6645833333333333</v>
      </c>
      <c r="AD53" s="28">
        <v>0.69097222222222221</v>
      </c>
      <c r="AE53" s="29">
        <f t="shared" si="19"/>
        <v>2.6388888888888906E-2</v>
      </c>
      <c r="AF53" s="1">
        <v>0.71875</v>
      </c>
      <c r="AG53">
        <f t="shared" si="20"/>
        <v>14</v>
      </c>
      <c r="AH53">
        <f t="shared" si="21"/>
        <v>19.5</v>
      </c>
      <c r="AI53">
        <f t="shared" si="24"/>
        <v>14</v>
      </c>
      <c r="AJ53">
        <f t="shared" si="25"/>
        <v>10</v>
      </c>
      <c r="AK53" s="1">
        <f>Table5[[#This Row],[Time Left]]-AC52</f>
        <v>5.5555555555555358E-3</v>
      </c>
    </row>
    <row r="54" spans="1:42" ht="17" customHeight="1">
      <c r="A54" s="8" t="s">
        <v>108</v>
      </c>
      <c r="B54" s="5" t="s">
        <v>81</v>
      </c>
      <c r="C54" s="6">
        <v>0.49652777777777779</v>
      </c>
      <c r="D54" s="7"/>
      <c r="E54" s="9">
        <f t="shared" si="14"/>
        <v>-0.49652777777777779</v>
      </c>
      <c r="H54" s="2" t="s">
        <v>98</v>
      </c>
      <c r="I54" s="2" t="s">
        <v>83</v>
      </c>
      <c r="J54" s="3">
        <v>0.65902777777777777</v>
      </c>
      <c r="K54" s="3">
        <v>0.68333333333333335</v>
      </c>
      <c r="L54" s="1">
        <f t="shared" si="15"/>
        <v>2.430555555555558E-2</v>
      </c>
      <c r="N54" s="22" t="s">
        <v>97</v>
      </c>
      <c r="O54" s="23" t="s">
        <v>81</v>
      </c>
      <c r="P54" s="24">
        <v>0.67152777777777772</v>
      </c>
      <c r="Q54" s="24">
        <v>0.70277777777777772</v>
      </c>
      <c r="R54" s="25">
        <f t="shared" si="16"/>
        <v>3.125E-2</v>
      </c>
      <c r="S54" s="1">
        <v>0.71875</v>
      </c>
      <c r="T54">
        <f t="shared" si="17"/>
        <v>12</v>
      </c>
      <c r="U54">
        <f t="shared" si="18"/>
        <v>10</v>
      </c>
      <c r="V54">
        <f t="shared" si="22"/>
        <v>12</v>
      </c>
      <c r="W54">
        <f t="shared" si="23"/>
        <v>8</v>
      </c>
      <c r="X54" s="1">
        <f>Table4[[#This Row],[Time Left]]-P53</f>
        <v>4.1666666666666519E-3</v>
      </c>
      <c r="AA54" s="22" t="s">
        <v>103</v>
      </c>
      <c r="AB54" s="23" t="s">
        <v>83</v>
      </c>
      <c r="AC54" s="24">
        <v>0.66736111111111107</v>
      </c>
      <c r="AD54" s="24">
        <v>0.69166666666666665</v>
      </c>
      <c r="AE54" s="25">
        <f t="shared" si="19"/>
        <v>2.430555555555558E-2</v>
      </c>
      <c r="AF54" s="1">
        <v>0.71875</v>
      </c>
      <c r="AG54">
        <f t="shared" si="20"/>
        <v>13</v>
      </c>
      <c r="AH54">
        <f t="shared" si="21"/>
        <v>42</v>
      </c>
      <c r="AI54">
        <f t="shared" si="24"/>
        <v>13</v>
      </c>
      <c r="AJ54">
        <f t="shared" si="25"/>
        <v>18.5</v>
      </c>
      <c r="AK54" s="36">
        <f>Table5[[#This Row],[Time Left]]-AC53</f>
        <v>2.7777777777777679E-3</v>
      </c>
    </row>
    <row r="55" spans="1:42" ht="17" customHeight="1">
      <c r="A55" s="8" t="s">
        <v>127</v>
      </c>
      <c r="B55" s="5" t="s">
        <v>81</v>
      </c>
      <c r="C55" s="6">
        <v>0.50138888888888888</v>
      </c>
      <c r="D55" s="7"/>
      <c r="E55" s="9">
        <f t="shared" si="14"/>
        <v>-0.50138888888888888</v>
      </c>
      <c r="H55" s="2" t="s">
        <v>139</v>
      </c>
      <c r="I55" s="2" t="s">
        <v>83</v>
      </c>
      <c r="J55" s="3">
        <v>0.6645833333333333</v>
      </c>
      <c r="K55" s="3">
        <v>0.69097222222222221</v>
      </c>
      <c r="L55" s="1">
        <f t="shared" si="15"/>
        <v>2.6388888888888906E-2</v>
      </c>
      <c r="N55" s="26" t="s">
        <v>94</v>
      </c>
      <c r="O55" s="27" t="s">
        <v>81</v>
      </c>
      <c r="P55" s="28">
        <v>0.67708333333333337</v>
      </c>
      <c r="Q55" s="28">
        <v>0.70625000000000004</v>
      </c>
      <c r="R55" s="29">
        <f t="shared" si="16"/>
        <v>2.9166666666666674E-2</v>
      </c>
      <c r="S55" s="1">
        <v>0.71875</v>
      </c>
      <c r="T55">
        <f t="shared" si="17"/>
        <v>11</v>
      </c>
      <c r="U55">
        <f t="shared" si="18"/>
        <v>29.5</v>
      </c>
      <c r="V55">
        <f t="shared" si="22"/>
        <v>11</v>
      </c>
      <c r="W55">
        <f t="shared" si="23"/>
        <v>15</v>
      </c>
      <c r="X55" s="1">
        <f>Table4[[#This Row],[Time Left]]-P54</f>
        <v>5.5555555555556468E-3</v>
      </c>
      <c r="AA55" s="26" t="s">
        <v>109</v>
      </c>
      <c r="AB55" s="27" t="s">
        <v>83</v>
      </c>
      <c r="AC55" s="28">
        <v>0.67291666666666672</v>
      </c>
      <c r="AD55" s="28">
        <v>0.70416666666666672</v>
      </c>
      <c r="AE55" s="29">
        <f t="shared" si="19"/>
        <v>3.125E-2</v>
      </c>
      <c r="AF55" s="1">
        <v>0.71875</v>
      </c>
      <c r="AG55">
        <f t="shared" si="20"/>
        <v>11.5</v>
      </c>
      <c r="AH55">
        <f t="shared" si="21"/>
        <v>1</v>
      </c>
      <c r="AI55">
        <f t="shared" si="24"/>
        <v>11.5</v>
      </c>
      <c r="AJ55">
        <f t="shared" si="25"/>
        <v>1</v>
      </c>
      <c r="AK55" s="1">
        <f>Table5[[#This Row],[Time Left]]-AC54</f>
        <v>5.5555555555556468E-3</v>
      </c>
    </row>
    <row r="56" spans="1:42" ht="17" customHeight="1">
      <c r="A56" s="8" t="s">
        <v>104</v>
      </c>
      <c r="B56" s="5" t="s">
        <v>81</v>
      </c>
      <c r="C56" s="6">
        <v>0.50624999999999998</v>
      </c>
      <c r="D56" s="7"/>
      <c r="E56" s="9">
        <f t="shared" si="14"/>
        <v>-0.50624999999999998</v>
      </c>
      <c r="H56" s="2" t="s">
        <v>103</v>
      </c>
      <c r="I56" s="2" t="s">
        <v>83</v>
      </c>
      <c r="J56" s="3">
        <v>0.66736111111111107</v>
      </c>
      <c r="K56" s="3">
        <v>0.69166666666666665</v>
      </c>
      <c r="L56" s="1">
        <f t="shared" si="15"/>
        <v>2.430555555555558E-2</v>
      </c>
      <c r="N56" s="22" t="s">
        <v>99</v>
      </c>
      <c r="O56" s="23" t="s">
        <v>81</v>
      </c>
      <c r="P56" s="24">
        <v>0.68125000000000002</v>
      </c>
      <c r="Q56" s="24">
        <v>0.71388888888888891</v>
      </c>
      <c r="R56" s="25">
        <f t="shared" si="16"/>
        <v>3.2638888888888884E-2</v>
      </c>
      <c r="S56" s="1">
        <v>0.71875</v>
      </c>
      <c r="T56">
        <f t="shared" si="17"/>
        <v>10</v>
      </c>
      <c r="U56">
        <f t="shared" si="18"/>
        <v>5</v>
      </c>
      <c r="V56">
        <f t="shared" si="22"/>
        <v>10</v>
      </c>
      <c r="W56">
        <f t="shared" si="23"/>
        <v>3.5</v>
      </c>
      <c r="X56" s="1">
        <f>Table4[[#This Row],[Time Left]]-P55</f>
        <v>4.1666666666666519E-3</v>
      </c>
      <c r="AA56" s="22" t="s">
        <v>111</v>
      </c>
      <c r="AB56" s="23" t="s">
        <v>83</v>
      </c>
      <c r="AC56" s="24">
        <v>0.67708333333333337</v>
      </c>
      <c r="AD56" s="24">
        <v>0.70416666666666672</v>
      </c>
      <c r="AE56" s="25">
        <f t="shared" si="19"/>
        <v>2.7083333333333348E-2</v>
      </c>
      <c r="AF56" s="1">
        <v>0.71875</v>
      </c>
      <c r="AG56">
        <f t="shared" si="20"/>
        <v>11.5</v>
      </c>
      <c r="AH56">
        <f t="shared" si="21"/>
        <v>9.5</v>
      </c>
      <c r="AI56">
        <f t="shared" si="24"/>
        <v>11.5</v>
      </c>
      <c r="AJ56">
        <f t="shared" si="25"/>
        <v>4.5</v>
      </c>
      <c r="AK56" s="36">
        <f>Table5[[#This Row],[Time Left]]-AC55</f>
        <v>4.1666666666666519E-3</v>
      </c>
    </row>
    <row r="57" spans="1:42" ht="17" customHeight="1">
      <c r="A57" s="8" t="s">
        <v>82</v>
      </c>
      <c r="B57" s="5" t="s">
        <v>81</v>
      </c>
      <c r="C57" s="6">
        <v>0.50972222222222219</v>
      </c>
      <c r="D57" s="7"/>
      <c r="E57" s="9">
        <f t="shared" si="14"/>
        <v>-0.50972222222222219</v>
      </c>
      <c r="H57" s="2" t="s">
        <v>109</v>
      </c>
      <c r="I57" s="2" t="s">
        <v>83</v>
      </c>
      <c r="J57" s="3">
        <v>0.67291666666666672</v>
      </c>
      <c r="K57" s="3">
        <v>0.70416666666666672</v>
      </c>
      <c r="L57" s="1">
        <f t="shared" si="15"/>
        <v>3.125E-2</v>
      </c>
      <c r="N57" s="26" t="s">
        <v>107</v>
      </c>
      <c r="O57" s="27" t="s">
        <v>81</v>
      </c>
      <c r="P57" s="28">
        <v>0.68680555555555556</v>
      </c>
      <c r="Q57" s="28">
        <v>0.71666666666666667</v>
      </c>
      <c r="R57" s="29">
        <f t="shared" si="16"/>
        <v>2.9861111111111116E-2</v>
      </c>
      <c r="S57" s="1">
        <v>0.71875</v>
      </c>
      <c r="T57">
        <f t="shared" si="17"/>
        <v>9</v>
      </c>
      <c r="U57">
        <f t="shared" si="18"/>
        <v>21.5</v>
      </c>
      <c r="V57">
        <f t="shared" si="22"/>
        <v>9</v>
      </c>
      <c r="W57">
        <f t="shared" si="23"/>
        <v>12.5</v>
      </c>
      <c r="X57" s="1">
        <f>Table4[[#This Row],[Time Left]]-P56</f>
        <v>5.5555555555555358E-3</v>
      </c>
      <c r="AA57" s="26" t="s">
        <v>135</v>
      </c>
      <c r="AB57" s="27" t="s">
        <v>83</v>
      </c>
      <c r="AC57" s="28">
        <v>0.68125000000000002</v>
      </c>
      <c r="AD57" s="28">
        <v>0.70763888888888893</v>
      </c>
      <c r="AE57" s="29">
        <f t="shared" si="19"/>
        <v>2.6388888888888906E-2</v>
      </c>
      <c r="AF57" s="1">
        <v>0.71875</v>
      </c>
      <c r="AG57">
        <f t="shared" si="20"/>
        <v>10</v>
      </c>
      <c r="AH57">
        <f t="shared" si="21"/>
        <v>19.5</v>
      </c>
      <c r="AI57">
        <f t="shared" si="24"/>
        <v>10</v>
      </c>
      <c r="AJ57">
        <f t="shared" si="25"/>
        <v>10</v>
      </c>
      <c r="AK57" s="1">
        <f>Table5[[#This Row],[Time Left]]-AC56</f>
        <v>4.1666666666666519E-3</v>
      </c>
    </row>
    <row r="58" spans="1:42" ht="17" customHeight="1">
      <c r="A58" s="8" t="s">
        <v>97</v>
      </c>
      <c r="B58" s="5" t="s">
        <v>81</v>
      </c>
      <c r="C58" s="7"/>
      <c r="D58" s="7"/>
      <c r="E58" s="9">
        <f t="shared" si="14"/>
        <v>0</v>
      </c>
      <c r="H58" s="2" t="s">
        <v>111</v>
      </c>
      <c r="I58" s="2" t="s">
        <v>83</v>
      </c>
      <c r="J58" s="3">
        <v>0.67708333333333337</v>
      </c>
      <c r="K58" s="3">
        <v>0.70416666666666672</v>
      </c>
      <c r="L58" s="1">
        <f t="shared" si="15"/>
        <v>2.7083333333333348E-2</v>
      </c>
      <c r="N58" s="22" t="s">
        <v>120</v>
      </c>
      <c r="O58" s="23" t="s">
        <v>81</v>
      </c>
      <c r="P58" s="24">
        <v>0.69236111111111109</v>
      </c>
      <c r="Q58" s="24">
        <v>0.72499999999999998</v>
      </c>
      <c r="R58" s="25">
        <f t="shared" si="16"/>
        <v>3.2638888888888884E-2</v>
      </c>
      <c r="S58" s="1">
        <v>0.76041666666666663</v>
      </c>
      <c r="T58">
        <f t="shared" si="17"/>
        <v>8</v>
      </c>
      <c r="U58">
        <f t="shared" si="18"/>
        <v>5</v>
      </c>
      <c r="V58">
        <f t="shared" si="22"/>
        <v>8</v>
      </c>
      <c r="W58">
        <f t="shared" si="23"/>
        <v>3.5</v>
      </c>
      <c r="X58" s="1">
        <f>Table4[[#This Row],[Time Left]]-P57</f>
        <v>5.5555555555555358E-3</v>
      </c>
      <c r="AA58" s="22" t="s">
        <v>116</v>
      </c>
      <c r="AB58" s="23" t="s">
        <v>83</v>
      </c>
      <c r="AC58" s="24">
        <v>0.68680555555555556</v>
      </c>
      <c r="AD58" s="24">
        <v>0.71388888888888891</v>
      </c>
      <c r="AE58" s="25">
        <f t="shared" si="19"/>
        <v>2.7083333333333348E-2</v>
      </c>
      <c r="AF58" s="1">
        <v>0.71875</v>
      </c>
      <c r="AG58">
        <f t="shared" si="20"/>
        <v>9</v>
      </c>
      <c r="AH58">
        <f t="shared" si="21"/>
        <v>9.5</v>
      </c>
      <c r="AI58">
        <f t="shared" si="24"/>
        <v>9</v>
      </c>
      <c r="AJ58">
        <f t="shared" si="25"/>
        <v>4.5</v>
      </c>
      <c r="AK58" s="36">
        <f>Table5[[#This Row],[Time Left]]-AC57</f>
        <v>5.5555555555555358E-3</v>
      </c>
    </row>
    <row r="59" spans="1:42" ht="17" customHeight="1">
      <c r="A59" s="8" t="s">
        <v>94</v>
      </c>
      <c r="B59" s="5" t="s">
        <v>81</v>
      </c>
      <c r="C59" s="7"/>
      <c r="D59" s="7"/>
      <c r="E59" s="9">
        <f t="shared" si="14"/>
        <v>0</v>
      </c>
      <c r="H59" s="2" t="s">
        <v>135</v>
      </c>
      <c r="I59" s="2" t="s">
        <v>83</v>
      </c>
      <c r="J59" s="3">
        <v>0.68125000000000002</v>
      </c>
      <c r="K59" s="3">
        <v>0.70763888888888893</v>
      </c>
      <c r="L59" s="1">
        <f t="shared" si="15"/>
        <v>2.6388888888888906E-2</v>
      </c>
      <c r="N59" s="26" t="s">
        <v>113</v>
      </c>
      <c r="O59" s="27" t="s">
        <v>81</v>
      </c>
      <c r="P59" s="28">
        <v>0.69722222222222219</v>
      </c>
      <c r="Q59" s="28">
        <v>0.72916666666666663</v>
      </c>
      <c r="R59" s="29">
        <f t="shared" si="16"/>
        <v>3.1944444444444442E-2</v>
      </c>
      <c r="S59" s="1">
        <v>0.76041666666666663</v>
      </c>
      <c r="T59">
        <f t="shared" si="17"/>
        <v>7</v>
      </c>
      <c r="U59">
        <f t="shared" si="18"/>
        <v>7</v>
      </c>
      <c r="V59">
        <f t="shared" si="22"/>
        <v>7</v>
      </c>
      <c r="W59">
        <f t="shared" si="23"/>
        <v>5</v>
      </c>
      <c r="X59" s="1">
        <f>Table4[[#This Row],[Time Left]]-P58</f>
        <v>4.8611111111110938E-3</v>
      </c>
      <c r="AA59" s="22" t="s">
        <v>105</v>
      </c>
      <c r="AB59" s="23" t="s">
        <v>83</v>
      </c>
      <c r="AC59" s="24">
        <v>0.69722222222222219</v>
      </c>
      <c r="AD59" s="24">
        <v>0.72361111111111109</v>
      </c>
      <c r="AE59" s="25">
        <f t="shared" si="19"/>
        <v>2.6388888888888906E-2</v>
      </c>
      <c r="AF59" s="36">
        <v>0.76041666666666663</v>
      </c>
      <c r="AG59" s="39">
        <f t="shared" si="20"/>
        <v>8</v>
      </c>
      <c r="AH59" s="39">
        <f t="shared" si="21"/>
        <v>19.5</v>
      </c>
      <c r="AI59">
        <f t="shared" si="24"/>
        <v>8</v>
      </c>
      <c r="AJ59">
        <f t="shared" si="25"/>
        <v>10</v>
      </c>
      <c r="AK59" s="36">
        <f>Table5[[#This Row],[Time Left]]-AC58</f>
        <v>1.041666666666663E-2</v>
      </c>
    </row>
    <row r="60" spans="1:42" ht="17" customHeight="1">
      <c r="A60" s="8" t="s">
        <v>82</v>
      </c>
      <c r="B60" s="5" t="s">
        <v>83</v>
      </c>
      <c r="C60" s="6">
        <v>0.35138888888888892</v>
      </c>
      <c r="D60" s="6">
        <v>0.37847222222222221</v>
      </c>
      <c r="E60" s="9">
        <f t="shared" si="14"/>
        <v>2.7083333333333293E-2</v>
      </c>
      <c r="H60" s="2" t="s">
        <v>116</v>
      </c>
      <c r="I60" s="2" t="s">
        <v>83</v>
      </c>
      <c r="J60" s="3">
        <v>0.68680555555555556</v>
      </c>
      <c r="K60" s="3">
        <v>0.71388888888888891</v>
      </c>
      <c r="L60" s="1">
        <f t="shared" si="15"/>
        <v>2.7083333333333348E-2</v>
      </c>
      <c r="N60" s="22" t="s">
        <v>104</v>
      </c>
      <c r="O60" s="23" t="s">
        <v>81</v>
      </c>
      <c r="P60" s="24">
        <v>0.70208333333333328</v>
      </c>
      <c r="Q60" s="24">
        <v>0.73263888888888884</v>
      </c>
      <c r="R60" s="25">
        <f t="shared" si="16"/>
        <v>3.0555555555555558E-2</v>
      </c>
      <c r="S60" s="1">
        <v>0.76041666666666663</v>
      </c>
      <c r="T60">
        <f t="shared" si="17"/>
        <v>6</v>
      </c>
      <c r="U60">
        <f t="shared" si="18"/>
        <v>14</v>
      </c>
      <c r="V60">
        <f t="shared" si="22"/>
        <v>6</v>
      </c>
      <c r="W60">
        <f t="shared" si="23"/>
        <v>11</v>
      </c>
      <c r="X60" s="1">
        <f>Table4[[#This Row],[Time Left]]-P59</f>
        <v>4.8611111111110938E-3</v>
      </c>
      <c r="AA60" s="26" t="s">
        <v>103</v>
      </c>
      <c r="AB60" s="27" t="s">
        <v>83</v>
      </c>
      <c r="AC60" s="28">
        <v>0.7006944444444444</v>
      </c>
      <c r="AD60" s="28">
        <v>0.72916666666666663</v>
      </c>
      <c r="AE60" s="29">
        <f t="shared" si="19"/>
        <v>2.8472222222222232E-2</v>
      </c>
      <c r="AF60" s="36">
        <v>0.76041666666666663</v>
      </c>
      <c r="AG60" s="39">
        <f t="shared" si="20"/>
        <v>7</v>
      </c>
      <c r="AH60" s="39">
        <f t="shared" si="21"/>
        <v>2.5</v>
      </c>
      <c r="AI60">
        <f t="shared" si="24"/>
        <v>7</v>
      </c>
      <c r="AJ60">
        <f t="shared" si="25"/>
        <v>2</v>
      </c>
      <c r="AK60" s="1">
        <f>Table5[[#This Row],[Time Left]]-AC59</f>
        <v>3.4722222222222099E-3</v>
      </c>
    </row>
    <row r="61" spans="1:42" ht="17" customHeight="1">
      <c r="A61" s="8" t="s">
        <v>95</v>
      </c>
      <c r="B61" s="5" t="s">
        <v>83</v>
      </c>
      <c r="C61" s="6">
        <v>0.35486111111111113</v>
      </c>
      <c r="D61" s="6">
        <v>0.38055555555555548</v>
      </c>
      <c r="E61" s="9">
        <f t="shared" si="14"/>
        <v>2.5694444444444353E-2</v>
      </c>
      <c r="H61" s="2" t="s">
        <v>98</v>
      </c>
      <c r="I61" s="2" t="s">
        <v>83</v>
      </c>
      <c r="J61" s="3">
        <v>0.69097222222222221</v>
      </c>
      <c r="K61" s="4"/>
      <c r="L61" s="1">
        <f t="shared" si="15"/>
        <v>-0.69097222222222221</v>
      </c>
      <c r="N61" s="26" t="s">
        <v>82</v>
      </c>
      <c r="O61" s="27" t="s">
        <v>81</v>
      </c>
      <c r="P61" s="28">
        <v>0.70763888888888893</v>
      </c>
      <c r="Q61" s="28">
        <v>0.73750000000000004</v>
      </c>
      <c r="R61" s="29">
        <f t="shared" si="16"/>
        <v>2.9861111111111116E-2</v>
      </c>
      <c r="S61" s="1">
        <v>0.76041666666666663</v>
      </c>
      <c r="T61">
        <f t="shared" si="17"/>
        <v>5</v>
      </c>
      <c r="U61">
        <f t="shared" si="18"/>
        <v>21.5</v>
      </c>
      <c r="V61">
        <f t="shared" si="22"/>
        <v>5</v>
      </c>
      <c r="W61">
        <f t="shared" si="23"/>
        <v>12.5</v>
      </c>
      <c r="X61" s="1">
        <f>Table4[[#This Row],[Time Left]]-P60</f>
        <v>5.5555555555556468E-3</v>
      </c>
      <c r="AA61" s="22" t="s">
        <v>109</v>
      </c>
      <c r="AB61" s="23" t="s">
        <v>83</v>
      </c>
      <c r="AC61" s="24">
        <v>0.70763888888888893</v>
      </c>
      <c r="AD61" s="24">
        <v>0.73472222222222228</v>
      </c>
      <c r="AE61" s="25">
        <f t="shared" si="19"/>
        <v>2.7083333333333348E-2</v>
      </c>
      <c r="AF61" s="36">
        <v>0.76041666666666663</v>
      </c>
      <c r="AG61" s="39">
        <f t="shared" si="20"/>
        <v>5.5</v>
      </c>
      <c r="AH61" s="39">
        <f t="shared" si="21"/>
        <v>9.5</v>
      </c>
      <c r="AI61">
        <f t="shared" si="24"/>
        <v>5.5</v>
      </c>
      <c r="AJ61">
        <f t="shared" si="25"/>
        <v>4.5</v>
      </c>
      <c r="AK61" s="36">
        <f>Table5[[#This Row],[Time Left]]-AC60</f>
        <v>6.9444444444445308E-3</v>
      </c>
    </row>
    <row r="62" spans="1:42" ht="17" customHeight="1">
      <c r="A62" s="8" t="s">
        <v>98</v>
      </c>
      <c r="B62" s="5" t="s">
        <v>83</v>
      </c>
      <c r="C62" s="6">
        <v>0.3576388888888889</v>
      </c>
      <c r="D62" s="6">
        <v>0.38472222222222219</v>
      </c>
      <c r="E62" s="9">
        <f t="shared" si="14"/>
        <v>2.7083333333333293E-2</v>
      </c>
      <c r="H62" s="2" t="s">
        <v>105</v>
      </c>
      <c r="I62" s="2" t="s">
        <v>83</v>
      </c>
      <c r="J62" s="3">
        <v>0.69722222222222219</v>
      </c>
      <c r="K62" s="3">
        <v>0.72361111111111109</v>
      </c>
      <c r="L62" s="1">
        <f t="shared" si="15"/>
        <v>2.6388888888888906E-2</v>
      </c>
      <c r="N62" s="22" t="s">
        <v>97</v>
      </c>
      <c r="O62" s="23" t="s">
        <v>81</v>
      </c>
      <c r="P62" s="24">
        <v>0.71388888888888891</v>
      </c>
      <c r="Q62" s="24">
        <v>0.74513888888888891</v>
      </c>
      <c r="R62" s="25">
        <f t="shared" si="16"/>
        <v>3.125E-2</v>
      </c>
      <c r="S62" s="1">
        <v>0.76041666666666663</v>
      </c>
      <c r="T62">
        <f t="shared" si="17"/>
        <v>4</v>
      </c>
      <c r="U62">
        <f t="shared" si="18"/>
        <v>10</v>
      </c>
      <c r="V62">
        <f t="shared" si="22"/>
        <v>4</v>
      </c>
      <c r="W62">
        <f t="shared" si="23"/>
        <v>8</v>
      </c>
      <c r="X62" s="1">
        <f>Table4[[#This Row],[Time Left]]-P61</f>
        <v>6.2499999999999778E-3</v>
      </c>
      <c r="AA62" s="26" t="s">
        <v>111</v>
      </c>
      <c r="AB62" s="27" t="s">
        <v>83</v>
      </c>
      <c r="AC62" s="28">
        <v>0.71111111111111114</v>
      </c>
      <c r="AD62" s="28">
        <v>0.73472222222222228</v>
      </c>
      <c r="AE62" s="29">
        <f t="shared" si="19"/>
        <v>2.3611111111111138E-2</v>
      </c>
      <c r="AF62" s="36">
        <v>0.76041666666666663</v>
      </c>
      <c r="AG62" s="39">
        <f t="shared" si="20"/>
        <v>5.5</v>
      </c>
      <c r="AH62" s="39">
        <f t="shared" si="21"/>
        <v>47</v>
      </c>
      <c r="AI62">
        <f t="shared" si="24"/>
        <v>5.5</v>
      </c>
      <c r="AJ62">
        <f t="shared" si="25"/>
        <v>22</v>
      </c>
      <c r="AK62" s="1">
        <f>Table5[[#This Row],[Time Left]]-AC61</f>
        <v>3.4722222222222099E-3</v>
      </c>
    </row>
    <row r="63" spans="1:42" ht="17" customHeight="1">
      <c r="A63" s="8" t="s">
        <v>105</v>
      </c>
      <c r="B63" s="5" t="s">
        <v>83</v>
      </c>
      <c r="C63" s="6">
        <v>0.3611111111111111</v>
      </c>
      <c r="D63" s="6">
        <v>0.38958333333333328</v>
      </c>
      <c r="E63" s="9">
        <f t="shared" si="14"/>
        <v>2.8472222222222177E-2</v>
      </c>
      <c r="H63" s="2" t="s">
        <v>103</v>
      </c>
      <c r="I63" s="2" t="s">
        <v>83</v>
      </c>
      <c r="J63" s="3">
        <v>0.7006944444444444</v>
      </c>
      <c r="K63" s="3">
        <v>0.72916666666666663</v>
      </c>
      <c r="L63" s="1">
        <f t="shared" si="15"/>
        <v>2.8472222222222232E-2</v>
      </c>
      <c r="N63" s="26" t="s">
        <v>94</v>
      </c>
      <c r="O63" s="27" t="s">
        <v>81</v>
      </c>
      <c r="P63" s="28">
        <v>0.71736111111111112</v>
      </c>
      <c r="Q63" s="28">
        <v>0.74652777777777779</v>
      </c>
      <c r="R63" s="29">
        <f t="shared" si="16"/>
        <v>2.9166666666666674E-2</v>
      </c>
      <c r="S63" s="1">
        <v>0.76041666666666663</v>
      </c>
      <c r="T63">
        <f t="shared" si="17"/>
        <v>3</v>
      </c>
      <c r="U63">
        <f t="shared" si="18"/>
        <v>29.5</v>
      </c>
      <c r="V63">
        <f t="shared" si="22"/>
        <v>3</v>
      </c>
      <c r="W63">
        <f t="shared" si="23"/>
        <v>15</v>
      </c>
      <c r="X63" s="1">
        <f>Table4[[#This Row],[Time Left]]-P62</f>
        <v>3.4722222222222099E-3</v>
      </c>
      <c r="AA63" s="22" t="s">
        <v>114</v>
      </c>
      <c r="AB63" s="23" t="s">
        <v>83</v>
      </c>
      <c r="AC63" s="24">
        <v>0.71597222222222223</v>
      </c>
      <c r="AD63" s="24">
        <v>0.7416666666666667</v>
      </c>
      <c r="AE63" s="25">
        <f t="shared" si="19"/>
        <v>2.5694444444444464E-2</v>
      </c>
      <c r="AF63" s="36">
        <v>0.76041666666666663</v>
      </c>
      <c r="AG63" s="39">
        <f t="shared" si="20"/>
        <v>4</v>
      </c>
      <c r="AH63" s="39">
        <f t="shared" si="21"/>
        <v>26.5</v>
      </c>
      <c r="AI63">
        <f t="shared" si="24"/>
        <v>4</v>
      </c>
      <c r="AJ63">
        <f t="shared" si="25"/>
        <v>14.5</v>
      </c>
      <c r="AK63" s="36">
        <f>Table5[[#This Row],[Time Left]]-AC62</f>
        <v>4.8611111111110938E-3</v>
      </c>
    </row>
    <row r="64" spans="1:42" ht="17" customHeight="1">
      <c r="A64" s="8" t="s">
        <v>100</v>
      </c>
      <c r="B64" s="5" t="s">
        <v>83</v>
      </c>
      <c r="C64" s="6">
        <v>0.36249999999999999</v>
      </c>
      <c r="D64" s="6">
        <v>0.38750000000000001</v>
      </c>
      <c r="E64" s="9">
        <f t="shared" si="14"/>
        <v>2.5000000000000022E-2</v>
      </c>
      <c r="H64" s="2" t="s">
        <v>109</v>
      </c>
      <c r="I64" s="2" t="s">
        <v>83</v>
      </c>
      <c r="J64" s="3">
        <v>0.70763888888888893</v>
      </c>
      <c r="K64" s="3">
        <v>0.73472222222222228</v>
      </c>
      <c r="L64" s="1">
        <f t="shared" si="15"/>
        <v>2.7083333333333348E-2</v>
      </c>
      <c r="N64" s="26" t="s">
        <v>107</v>
      </c>
      <c r="O64" s="27" t="s">
        <v>81</v>
      </c>
      <c r="P64" s="28">
        <v>0.72222222222222221</v>
      </c>
      <c r="Q64" s="28">
        <v>0.75347222222222221</v>
      </c>
      <c r="R64" s="29">
        <f t="shared" si="16"/>
        <v>3.125E-2</v>
      </c>
      <c r="S64" s="1">
        <v>0.76041666666666663</v>
      </c>
      <c r="T64">
        <f t="shared" si="17"/>
        <v>2</v>
      </c>
      <c r="U64">
        <f t="shared" si="18"/>
        <v>10</v>
      </c>
      <c r="V64">
        <f t="shared" si="22"/>
        <v>2</v>
      </c>
      <c r="W64">
        <f t="shared" si="23"/>
        <v>8</v>
      </c>
      <c r="X64" s="1">
        <f>Table4[[#This Row],[Time Left]]-P63</f>
        <v>4.8611111111110938E-3</v>
      </c>
      <c r="AA64" s="26" t="s">
        <v>116</v>
      </c>
      <c r="AB64" s="27" t="s">
        <v>83</v>
      </c>
      <c r="AC64" s="28">
        <v>0.72222222222222221</v>
      </c>
      <c r="AD64" s="28">
        <v>0.74930555555555556</v>
      </c>
      <c r="AE64" s="29">
        <f t="shared" si="19"/>
        <v>2.7083333333333348E-2</v>
      </c>
      <c r="AF64" s="36">
        <v>0.76041666666666663</v>
      </c>
      <c r="AG64" s="39">
        <f t="shared" si="20"/>
        <v>3</v>
      </c>
      <c r="AH64" s="39">
        <f t="shared" si="21"/>
        <v>9.5</v>
      </c>
      <c r="AI64">
        <f t="shared" si="24"/>
        <v>3</v>
      </c>
      <c r="AJ64">
        <f t="shared" si="25"/>
        <v>4.5</v>
      </c>
      <c r="AK64" s="1">
        <f>Table5[[#This Row],[Time Left]]-AC63</f>
        <v>6.2499999999999778E-3</v>
      </c>
    </row>
    <row r="65" spans="1:40" ht="17" customHeight="1">
      <c r="A65" s="8" t="s">
        <v>103</v>
      </c>
      <c r="B65" s="5" t="s">
        <v>83</v>
      </c>
      <c r="C65" s="6">
        <v>0.3659722222222222</v>
      </c>
      <c r="D65" s="6">
        <v>0.3888888888888889</v>
      </c>
      <c r="E65" s="9">
        <f t="shared" si="14"/>
        <v>2.2916666666666696E-2</v>
      </c>
      <c r="H65" s="2" t="s">
        <v>111</v>
      </c>
      <c r="I65" s="2" t="s">
        <v>83</v>
      </c>
      <c r="J65" s="3">
        <v>0.71111111111111114</v>
      </c>
      <c r="K65" s="3">
        <v>0.73472222222222228</v>
      </c>
      <c r="L65" s="1">
        <f t="shared" si="15"/>
        <v>2.3611111111111138E-2</v>
      </c>
      <c r="N65" s="22" t="s">
        <v>108</v>
      </c>
      <c r="O65" s="23" t="s">
        <v>81</v>
      </c>
      <c r="P65" s="24">
        <v>0.72777777777777775</v>
      </c>
      <c r="Q65" s="24">
        <v>0.75902777777777775</v>
      </c>
      <c r="R65" s="25">
        <f t="shared" si="16"/>
        <v>3.125E-2</v>
      </c>
      <c r="S65" s="1">
        <v>0.76041666666666663</v>
      </c>
      <c r="T65">
        <f t="shared" si="17"/>
        <v>1</v>
      </c>
      <c r="U65">
        <f t="shared" si="18"/>
        <v>10</v>
      </c>
      <c r="V65">
        <f t="shared" si="22"/>
        <v>1</v>
      </c>
      <c r="W65">
        <f t="shared" si="23"/>
        <v>8</v>
      </c>
      <c r="X65" s="1">
        <f>Table4[[#This Row],[Time Left]]-P64</f>
        <v>5.5555555555555358E-3</v>
      </c>
      <c r="AA65" s="22" t="s">
        <v>105</v>
      </c>
      <c r="AB65" s="23" t="s">
        <v>83</v>
      </c>
      <c r="AC65" s="24">
        <v>0.7270833333333333</v>
      </c>
      <c r="AD65" s="24">
        <v>0.75347222222222221</v>
      </c>
      <c r="AE65" s="25">
        <f t="shared" si="19"/>
        <v>2.6388888888888906E-2</v>
      </c>
      <c r="AF65" s="36">
        <v>0.76041666666666663</v>
      </c>
      <c r="AG65" s="39">
        <f t="shared" si="20"/>
        <v>2</v>
      </c>
      <c r="AH65" s="39">
        <f t="shared" si="21"/>
        <v>19.5</v>
      </c>
      <c r="AI65">
        <f t="shared" si="24"/>
        <v>2</v>
      </c>
      <c r="AJ65">
        <f t="shared" si="25"/>
        <v>10</v>
      </c>
      <c r="AK65" s="36">
        <f>Table5[[#This Row],[Time Left]]-AC64</f>
        <v>4.8611111111110938E-3</v>
      </c>
    </row>
    <row r="66" spans="1:40" ht="17" customHeight="1">
      <c r="A66" s="8" t="s">
        <v>109</v>
      </c>
      <c r="B66" s="5" t="s">
        <v>83</v>
      </c>
      <c r="C66" s="6">
        <v>0.36736111111111108</v>
      </c>
      <c r="D66" s="6">
        <v>0.39583333333333331</v>
      </c>
      <c r="E66" s="9">
        <f t="shared" ref="E66:E97" si="26">D66-C66</f>
        <v>2.8472222222222232E-2</v>
      </c>
      <c r="H66" s="2" t="s">
        <v>114</v>
      </c>
      <c r="I66" s="2" t="s">
        <v>83</v>
      </c>
      <c r="J66" s="3">
        <v>0.71597222222222223</v>
      </c>
      <c r="K66" s="3">
        <v>0.7416666666666667</v>
      </c>
      <c r="L66" s="1">
        <f t="shared" ref="L66:L73" si="27">K66-J66</f>
        <v>2.5694444444444464E-2</v>
      </c>
      <c r="N66" s="22" t="s">
        <v>104</v>
      </c>
      <c r="O66" s="23" t="s">
        <v>81</v>
      </c>
      <c r="P66" s="24">
        <v>0.3923611111111111</v>
      </c>
      <c r="Q66" s="30"/>
      <c r="R66" s="25">
        <f t="shared" ref="R66:R67" si="28">Q66-P66</f>
        <v>-0.3923611111111111</v>
      </c>
      <c r="S66" s="1"/>
      <c r="T66" t="e">
        <f t="shared" ref="T66:T85" si="29">_xlfn.RANK.AVG($Q66,$Q$2:$Q$65,0)</f>
        <v>#N/A</v>
      </c>
      <c r="U66" t="e">
        <f t="shared" ref="U66:U85" si="30">_xlfn.RANK.AVG(R66,$R$2:$R$65,0)</f>
        <v>#N/A</v>
      </c>
      <c r="X66" s="1">
        <f>Table4[[#This Row],[Time Left]]-P65</f>
        <v>-0.33541666666666664</v>
      </c>
      <c r="AA66" s="26" t="s">
        <v>103</v>
      </c>
      <c r="AB66" s="27" t="s">
        <v>83</v>
      </c>
      <c r="AC66" s="28">
        <v>0.73263888888888884</v>
      </c>
      <c r="AD66" s="28">
        <v>0.75902777777777775</v>
      </c>
      <c r="AE66" s="29">
        <f t="shared" ref="AE66:AE79" si="31">AD66-AC66</f>
        <v>2.6388888888888906E-2</v>
      </c>
      <c r="AF66" s="36">
        <v>0.76041666666666663</v>
      </c>
      <c r="AG66" s="39">
        <f t="shared" ref="AG66:AG79" si="32">_xlfn.RANK.AVG($AD66,$AD$2:$AD$66,0)</f>
        <v>1</v>
      </c>
      <c r="AH66" s="39">
        <f t="shared" ref="AH66:AH79" si="33">_xlfn.RANK.AVG($AE66,$AE$2:$AE$65,0)</f>
        <v>19.5</v>
      </c>
      <c r="AI66">
        <f t="shared" si="24"/>
        <v>1</v>
      </c>
      <c r="AJ66">
        <f t="shared" si="25"/>
        <v>10</v>
      </c>
      <c r="AK66" s="1">
        <f>Table5[[#This Row],[Time Left]]-AC65</f>
        <v>5.5555555555555358E-3</v>
      </c>
    </row>
    <row r="67" spans="1:40" ht="17" customHeight="1">
      <c r="A67" s="8" t="s">
        <v>111</v>
      </c>
      <c r="B67" s="5" t="s">
        <v>83</v>
      </c>
      <c r="C67" s="6">
        <v>0.375</v>
      </c>
      <c r="D67" s="6">
        <v>0.4</v>
      </c>
      <c r="E67" s="9">
        <f t="shared" si="26"/>
        <v>2.5000000000000022E-2</v>
      </c>
      <c r="H67" s="2" t="s">
        <v>116</v>
      </c>
      <c r="I67" s="2" t="s">
        <v>83</v>
      </c>
      <c r="J67" s="3">
        <v>0.72222222222222221</v>
      </c>
      <c r="K67" s="3">
        <v>0.74930555555555556</v>
      </c>
      <c r="L67" s="1">
        <f t="shared" si="27"/>
        <v>2.7083333333333348E-2</v>
      </c>
      <c r="N67" s="22" t="s">
        <v>95</v>
      </c>
      <c r="O67" s="23" t="s">
        <v>81</v>
      </c>
      <c r="P67" s="24">
        <v>0.41944444444444451</v>
      </c>
      <c r="Q67" s="30"/>
      <c r="R67" s="25">
        <f t="shared" si="28"/>
        <v>-0.41944444444444451</v>
      </c>
      <c r="S67" s="1"/>
      <c r="T67" t="e">
        <f t="shared" si="29"/>
        <v>#N/A</v>
      </c>
      <c r="U67" t="e">
        <f t="shared" si="30"/>
        <v>#N/A</v>
      </c>
      <c r="X67" s="1">
        <f>Table4[[#This Row],[Time Left]]-P66</f>
        <v>2.7083333333333404E-2</v>
      </c>
      <c r="AA67" s="26" t="s">
        <v>100</v>
      </c>
      <c r="AB67" s="27" t="s">
        <v>83</v>
      </c>
      <c r="AC67" s="28">
        <v>0.41944444444444451</v>
      </c>
      <c r="AD67" s="31"/>
      <c r="AE67" s="29">
        <f t="shared" si="31"/>
        <v>-0.41944444444444451</v>
      </c>
      <c r="AF67" s="1"/>
      <c r="AG67" t="e">
        <f t="shared" si="32"/>
        <v>#N/A</v>
      </c>
      <c r="AH67" t="e">
        <f t="shared" si="33"/>
        <v>#N/A</v>
      </c>
      <c r="AI67" s="1"/>
      <c r="AJ67" s="1"/>
      <c r="AK67" s="1">
        <f>Table5[[#This Row],[Time Left]]-AC66</f>
        <v>-0.31319444444444433</v>
      </c>
    </row>
    <row r="68" spans="1:40" ht="17" customHeight="1">
      <c r="A68" s="8" t="s">
        <v>114</v>
      </c>
      <c r="B68" s="5" t="s">
        <v>83</v>
      </c>
      <c r="C68" s="6">
        <v>0.37986111111111109</v>
      </c>
      <c r="D68" s="6">
        <v>0.40416666666666667</v>
      </c>
      <c r="E68" s="9">
        <f t="shared" si="26"/>
        <v>2.430555555555558E-2</v>
      </c>
      <c r="H68" s="2" t="s">
        <v>105</v>
      </c>
      <c r="I68" s="2" t="s">
        <v>83</v>
      </c>
      <c r="J68" s="3">
        <v>0.7270833333333333</v>
      </c>
      <c r="K68" s="3">
        <v>0.75347222222222221</v>
      </c>
      <c r="L68" s="1">
        <f t="shared" si="27"/>
        <v>2.6388888888888906E-2</v>
      </c>
      <c r="N68" s="22" t="s">
        <v>110</v>
      </c>
      <c r="O68" s="23" t="s">
        <v>81</v>
      </c>
      <c r="P68" s="24">
        <v>0.43333333333333329</v>
      </c>
      <c r="Q68" s="30"/>
      <c r="R68" s="25" t="s">
        <v>130</v>
      </c>
      <c r="S68" s="1"/>
      <c r="T68" t="e">
        <f t="shared" si="29"/>
        <v>#N/A</v>
      </c>
      <c r="U68" t="e">
        <f t="shared" si="30"/>
        <v>#VALUE!</v>
      </c>
      <c r="X68" s="1">
        <f>Table4[[#This Row],[Time Left]]-P67</f>
        <v>1.3888888888888784E-2</v>
      </c>
      <c r="AA68" s="26" t="s">
        <v>105</v>
      </c>
      <c r="AB68" s="27" t="s">
        <v>83</v>
      </c>
      <c r="AC68" s="28">
        <v>0.49236111111111108</v>
      </c>
      <c r="AD68" s="31"/>
      <c r="AE68" s="29">
        <f t="shared" si="31"/>
        <v>-0.49236111111111108</v>
      </c>
      <c r="AF68" s="1"/>
      <c r="AG68" t="e">
        <f t="shared" si="32"/>
        <v>#N/A</v>
      </c>
      <c r="AH68" t="e">
        <f t="shared" si="33"/>
        <v>#N/A</v>
      </c>
      <c r="AI68" s="1"/>
      <c r="AJ68" s="1"/>
      <c r="AK68" s="1">
        <f>Table5[[#This Row],[Time Left]]-AC67</f>
        <v>7.2916666666666574E-2</v>
      </c>
    </row>
    <row r="69" spans="1:40" ht="17" customHeight="1">
      <c r="A69" s="8" t="s">
        <v>116</v>
      </c>
      <c r="B69" s="5" t="s">
        <v>83</v>
      </c>
      <c r="C69" s="6">
        <v>0.38124999999999998</v>
      </c>
      <c r="D69" s="6">
        <v>0.40763888888888888</v>
      </c>
      <c r="E69" s="9">
        <f t="shared" si="26"/>
        <v>2.6388888888888906E-2</v>
      </c>
      <c r="H69" s="2" t="s">
        <v>103</v>
      </c>
      <c r="I69" s="2" t="s">
        <v>83</v>
      </c>
      <c r="J69" s="3">
        <v>0.73263888888888884</v>
      </c>
      <c r="K69" s="3">
        <v>0.75902777777777775</v>
      </c>
      <c r="L69" s="1">
        <f t="shared" si="27"/>
        <v>2.6388888888888906E-2</v>
      </c>
      <c r="N69" s="26" t="s">
        <v>115</v>
      </c>
      <c r="O69" s="27" t="s">
        <v>81</v>
      </c>
      <c r="P69" s="28">
        <v>0.43611111111111112</v>
      </c>
      <c r="Q69" s="31"/>
      <c r="R69" s="29">
        <f t="shared" ref="R69:R85" si="34">Q69-P69</f>
        <v>-0.43611111111111112</v>
      </c>
      <c r="S69" s="1"/>
      <c r="T69" t="e">
        <f t="shared" si="29"/>
        <v>#N/A</v>
      </c>
      <c r="U69" t="e">
        <f t="shared" si="30"/>
        <v>#N/A</v>
      </c>
      <c r="X69" s="1">
        <f>Table4[[#This Row],[Time Left]]-P68</f>
        <v>2.7777777777778234E-3</v>
      </c>
      <c r="AA69" s="22" t="s">
        <v>109</v>
      </c>
      <c r="AB69" s="23" t="s">
        <v>83</v>
      </c>
      <c r="AC69" s="24">
        <v>0.50208333333333333</v>
      </c>
      <c r="AD69" s="30"/>
      <c r="AE69" s="25">
        <f t="shared" si="31"/>
        <v>-0.50208333333333333</v>
      </c>
      <c r="AF69" s="36"/>
      <c r="AG69" s="39" t="e">
        <f t="shared" si="32"/>
        <v>#N/A</v>
      </c>
      <c r="AH69" s="39" t="e">
        <f t="shared" si="33"/>
        <v>#N/A</v>
      </c>
      <c r="AI69" s="36"/>
      <c r="AJ69" s="36"/>
      <c r="AK69" s="36">
        <f>Table5[[#This Row],[Time Left]]-AC68</f>
        <v>9.7222222222222432E-3</v>
      </c>
    </row>
    <row r="70" spans="1:40" ht="17" customHeight="1">
      <c r="A70" s="8" t="s">
        <v>82</v>
      </c>
      <c r="B70" s="5" t="s">
        <v>83</v>
      </c>
      <c r="C70" s="6">
        <v>0.38263888888888892</v>
      </c>
      <c r="D70" s="6">
        <v>0.40833333333333333</v>
      </c>
      <c r="E70" s="9">
        <f t="shared" si="26"/>
        <v>2.5694444444444409E-2</v>
      </c>
      <c r="H70" s="2" t="s">
        <v>109</v>
      </c>
      <c r="I70" s="2" t="s">
        <v>83</v>
      </c>
      <c r="J70" s="3">
        <v>0.73819444444444449</v>
      </c>
      <c r="K70" s="4"/>
      <c r="L70" s="1">
        <f t="shared" si="27"/>
        <v>-0.73819444444444449</v>
      </c>
      <c r="N70" s="26" t="s">
        <v>102</v>
      </c>
      <c r="O70" s="27" t="s">
        <v>81</v>
      </c>
      <c r="P70" s="28">
        <v>0.46180555555555558</v>
      </c>
      <c r="Q70" s="31"/>
      <c r="R70" s="29">
        <f t="shared" si="34"/>
        <v>-0.46180555555555558</v>
      </c>
      <c r="S70" s="1"/>
      <c r="T70" t="e">
        <f t="shared" si="29"/>
        <v>#N/A</v>
      </c>
      <c r="U70" t="e">
        <f t="shared" si="30"/>
        <v>#N/A</v>
      </c>
      <c r="X70" s="1">
        <f>Table4[[#This Row],[Time Left]]-P69</f>
        <v>2.5694444444444464E-2</v>
      </c>
      <c r="AA70" s="26" t="s">
        <v>111</v>
      </c>
      <c r="AB70" s="27" t="s">
        <v>83</v>
      </c>
      <c r="AC70" s="28">
        <v>0.50069444444444444</v>
      </c>
      <c r="AD70" s="31"/>
      <c r="AE70" s="29">
        <f t="shared" si="31"/>
        <v>-0.50069444444444444</v>
      </c>
      <c r="AF70" s="1"/>
      <c r="AG70" t="e">
        <f t="shared" si="32"/>
        <v>#N/A</v>
      </c>
      <c r="AH70" t="e">
        <f t="shared" si="33"/>
        <v>#N/A</v>
      </c>
      <c r="AI70" s="1"/>
      <c r="AJ70" s="1"/>
      <c r="AK70" s="1">
        <f>Table5[[#This Row],[Time Left]]-AC69</f>
        <v>-1.388888888888884E-3</v>
      </c>
    </row>
    <row r="71" spans="1:40" ht="17" customHeight="1">
      <c r="A71" s="8" t="s">
        <v>95</v>
      </c>
      <c r="B71" s="5" t="s">
        <v>83</v>
      </c>
      <c r="C71" s="6">
        <v>0.38541666666666669</v>
      </c>
      <c r="D71" s="6">
        <v>0.41249999999999998</v>
      </c>
      <c r="E71" s="9">
        <f t="shared" si="26"/>
        <v>2.7083333333333293E-2</v>
      </c>
      <c r="H71" s="2" t="s">
        <v>111</v>
      </c>
      <c r="I71" s="2" t="s">
        <v>83</v>
      </c>
      <c r="J71" s="3">
        <v>0.74444444444444446</v>
      </c>
      <c r="K71" s="4"/>
      <c r="L71" s="1">
        <f t="shared" si="27"/>
        <v>-0.74444444444444446</v>
      </c>
      <c r="N71" s="22" t="s">
        <v>99</v>
      </c>
      <c r="O71" s="23" t="s">
        <v>81</v>
      </c>
      <c r="P71" s="24">
        <v>0.48680555555555549</v>
      </c>
      <c r="Q71" s="30"/>
      <c r="R71" s="25">
        <f t="shared" si="34"/>
        <v>-0.48680555555555549</v>
      </c>
      <c r="S71" s="1"/>
      <c r="T71" t="e">
        <f t="shared" si="29"/>
        <v>#N/A</v>
      </c>
      <c r="U71" t="e">
        <f t="shared" si="30"/>
        <v>#N/A</v>
      </c>
      <c r="X71" s="1">
        <f>Table4[[#This Row],[Time Left]]-P70</f>
        <v>2.4999999999999911E-2</v>
      </c>
      <c r="AA71" s="22" t="s">
        <v>114</v>
      </c>
      <c r="AB71" s="23" t="s">
        <v>83</v>
      </c>
      <c r="AC71" s="24">
        <v>0.51111111111111107</v>
      </c>
      <c r="AD71" s="30"/>
      <c r="AE71" s="25">
        <f t="shared" si="31"/>
        <v>-0.51111111111111107</v>
      </c>
      <c r="AF71" s="36"/>
      <c r="AG71" s="39" t="e">
        <f t="shared" si="32"/>
        <v>#N/A</v>
      </c>
      <c r="AH71" s="39" t="e">
        <f t="shared" si="33"/>
        <v>#N/A</v>
      </c>
      <c r="AI71" s="36"/>
      <c r="AJ71" s="36"/>
      <c r="AK71" s="36">
        <f>Table5[[#This Row],[Time Left]]-AC70</f>
        <v>1.041666666666663E-2</v>
      </c>
    </row>
    <row r="72" spans="1:40" ht="17" customHeight="1">
      <c r="A72" s="8" t="s">
        <v>98</v>
      </c>
      <c r="B72" s="5" t="s">
        <v>83</v>
      </c>
      <c r="C72" s="6">
        <v>0.38750000000000001</v>
      </c>
      <c r="D72" s="6">
        <v>0.41458333333333341</v>
      </c>
      <c r="E72" s="9">
        <f t="shared" si="26"/>
        <v>2.7083333333333404E-2</v>
      </c>
      <c r="H72" s="2" t="s">
        <v>114</v>
      </c>
      <c r="I72" s="2" t="s">
        <v>83</v>
      </c>
      <c r="J72" s="4"/>
      <c r="K72" s="4"/>
      <c r="L72" s="1">
        <f t="shared" si="27"/>
        <v>0</v>
      </c>
      <c r="N72" s="26" t="s">
        <v>107</v>
      </c>
      <c r="O72" s="27" t="s">
        <v>81</v>
      </c>
      <c r="P72" s="28">
        <v>0.49236111111111108</v>
      </c>
      <c r="Q72" s="31"/>
      <c r="R72" s="29">
        <f t="shared" si="34"/>
        <v>-0.49236111111111108</v>
      </c>
      <c r="S72" s="1"/>
      <c r="T72" t="e">
        <f t="shared" si="29"/>
        <v>#N/A</v>
      </c>
      <c r="U72" t="e">
        <f t="shared" si="30"/>
        <v>#N/A</v>
      </c>
      <c r="X72" s="1">
        <f>Table4[[#This Row],[Time Left]]-P71</f>
        <v>5.5555555555555913E-3</v>
      </c>
      <c r="AA72" s="26" t="s">
        <v>116</v>
      </c>
      <c r="AB72" s="27" t="s">
        <v>83</v>
      </c>
      <c r="AC72" s="31"/>
      <c r="AD72" s="31"/>
      <c r="AE72" s="29">
        <f t="shared" si="31"/>
        <v>0</v>
      </c>
      <c r="AF72" s="1"/>
      <c r="AG72" t="e">
        <f t="shared" si="32"/>
        <v>#N/A</v>
      </c>
      <c r="AH72" t="e">
        <f t="shared" si="33"/>
        <v>#N/A</v>
      </c>
      <c r="AI72" s="1"/>
      <c r="AJ72" s="1"/>
      <c r="AK72" s="1">
        <f>Table5[[#This Row],[Time Left]]-AC71</f>
        <v>-0.51111111111111107</v>
      </c>
    </row>
    <row r="73" spans="1:40" ht="17" customHeight="1">
      <c r="A73" s="8" t="s">
        <v>100</v>
      </c>
      <c r="B73" s="5" t="s">
        <v>83</v>
      </c>
      <c r="C73" s="6">
        <v>0.39305555555555549</v>
      </c>
      <c r="D73" s="6">
        <v>0.41666666666666669</v>
      </c>
      <c r="E73" s="9">
        <f t="shared" si="26"/>
        <v>2.3611111111111194E-2</v>
      </c>
      <c r="H73" s="2" t="s">
        <v>116</v>
      </c>
      <c r="I73" s="2" t="s">
        <v>83</v>
      </c>
      <c r="J73" s="4"/>
      <c r="K73" s="4"/>
      <c r="L73" s="1">
        <f t="shared" si="27"/>
        <v>0</v>
      </c>
      <c r="N73" s="22" t="s">
        <v>108</v>
      </c>
      <c r="O73" s="23" t="s">
        <v>81</v>
      </c>
      <c r="P73" s="24">
        <v>0.49652777777777779</v>
      </c>
      <c r="Q73" s="30"/>
      <c r="R73" s="25">
        <f t="shared" si="34"/>
        <v>-0.49652777777777779</v>
      </c>
      <c r="S73" s="1"/>
      <c r="T73" t="e">
        <f t="shared" si="29"/>
        <v>#N/A</v>
      </c>
      <c r="U73" t="e">
        <f t="shared" si="30"/>
        <v>#N/A</v>
      </c>
      <c r="X73" s="1">
        <f>Table4[[#This Row],[Time Left]]-P72</f>
        <v>4.1666666666667074E-3</v>
      </c>
      <c r="AA73" s="22" t="s">
        <v>98</v>
      </c>
      <c r="AB73" s="23" t="s">
        <v>83</v>
      </c>
      <c r="AC73" s="30"/>
      <c r="AD73" s="30"/>
      <c r="AE73" s="25">
        <f t="shared" si="31"/>
        <v>0</v>
      </c>
      <c r="AF73" s="36"/>
      <c r="AG73" s="39" t="e">
        <f t="shared" si="32"/>
        <v>#N/A</v>
      </c>
      <c r="AH73" s="39" t="e">
        <f t="shared" si="33"/>
        <v>#N/A</v>
      </c>
      <c r="AI73" s="36"/>
      <c r="AJ73" s="36"/>
      <c r="AK73" s="36">
        <f>Table5[[#This Row],[Time Left]]-AC72</f>
        <v>0</v>
      </c>
    </row>
    <row r="74" spans="1:40" ht="17" customHeight="1">
      <c r="A74" s="8" t="s">
        <v>103</v>
      </c>
      <c r="B74" s="5" t="s">
        <v>83</v>
      </c>
      <c r="C74" s="6">
        <v>0.39652777777777781</v>
      </c>
      <c r="D74" s="6">
        <v>0.42152777777777778</v>
      </c>
      <c r="E74" s="9">
        <f t="shared" si="26"/>
        <v>2.4999999999999967E-2</v>
      </c>
      <c r="N74" s="26" t="s">
        <v>127</v>
      </c>
      <c r="O74" s="27" t="s">
        <v>81</v>
      </c>
      <c r="P74" s="28">
        <v>0.50138888888888888</v>
      </c>
      <c r="Q74" s="31"/>
      <c r="R74" s="29">
        <f t="shared" si="34"/>
        <v>-0.50138888888888888</v>
      </c>
      <c r="S74" s="1"/>
      <c r="T74" t="e">
        <f t="shared" si="29"/>
        <v>#N/A</v>
      </c>
      <c r="U74" t="e">
        <f t="shared" si="30"/>
        <v>#N/A</v>
      </c>
      <c r="X74" s="1">
        <f>Table4[[#This Row],[Time Left]]-P73</f>
        <v>4.8611111111110938E-3</v>
      </c>
      <c r="AA74" s="26" t="s">
        <v>122</v>
      </c>
      <c r="AB74" s="27" t="s">
        <v>140</v>
      </c>
      <c r="AC74" s="28">
        <v>0.49722222222222218</v>
      </c>
      <c r="AD74" s="31"/>
      <c r="AE74" s="29">
        <f t="shared" si="31"/>
        <v>-0.49722222222222218</v>
      </c>
      <c r="AF74" s="1"/>
      <c r="AG74" t="e">
        <f t="shared" si="32"/>
        <v>#N/A</v>
      </c>
      <c r="AH74" t="e">
        <f t="shared" si="33"/>
        <v>#N/A</v>
      </c>
      <c r="AI74" s="1"/>
      <c r="AJ74" s="1"/>
      <c r="AK74" s="1">
        <f>Table5[[#This Row],[Time Left]]-AC73</f>
        <v>0.49722222222222218</v>
      </c>
    </row>
    <row r="75" spans="1:40" ht="17" customHeight="1">
      <c r="A75" s="8" t="s">
        <v>105</v>
      </c>
      <c r="B75" s="5" t="s">
        <v>83</v>
      </c>
      <c r="C75" s="6">
        <v>0.39166666666666672</v>
      </c>
      <c r="D75" s="6">
        <v>0.41875000000000001</v>
      </c>
      <c r="E75" s="9">
        <f t="shared" si="26"/>
        <v>2.7083333333333293E-2</v>
      </c>
      <c r="N75" s="22" t="s">
        <v>104</v>
      </c>
      <c r="O75" s="23" t="s">
        <v>81</v>
      </c>
      <c r="P75" s="24">
        <v>0.50624999999999998</v>
      </c>
      <c r="Q75" s="30"/>
      <c r="R75" s="25">
        <f t="shared" si="34"/>
        <v>-0.50624999999999998</v>
      </c>
      <c r="S75" s="1"/>
      <c r="T75" t="e">
        <f t="shared" si="29"/>
        <v>#N/A</v>
      </c>
      <c r="U75" t="e">
        <f t="shared" si="30"/>
        <v>#N/A</v>
      </c>
      <c r="X75" s="1">
        <f>Table4[[#This Row],[Time Left]]-P74</f>
        <v>4.8611111111110938E-3</v>
      </c>
      <c r="AA75" s="26" t="s">
        <v>98</v>
      </c>
      <c r="AB75" s="27" t="s">
        <v>83</v>
      </c>
      <c r="AC75" s="28">
        <v>0.69097222222222221</v>
      </c>
      <c r="AD75" s="31"/>
      <c r="AE75" s="29">
        <f t="shared" si="31"/>
        <v>-0.69097222222222221</v>
      </c>
      <c r="AF75" s="1"/>
      <c r="AG75" t="e">
        <f t="shared" si="32"/>
        <v>#N/A</v>
      </c>
      <c r="AH75" t="e">
        <f t="shared" si="33"/>
        <v>#N/A</v>
      </c>
      <c r="AI75" s="1"/>
      <c r="AJ75" s="1"/>
      <c r="AK75" s="1">
        <f>Table5[[#This Row],[Time Left]]-AC74</f>
        <v>0.19375000000000003</v>
      </c>
    </row>
    <row r="76" spans="1:40" ht="17" customHeight="1">
      <c r="A76" s="8" t="s">
        <v>109</v>
      </c>
      <c r="B76" s="5" t="s">
        <v>83</v>
      </c>
      <c r="C76" s="6">
        <v>0.4</v>
      </c>
      <c r="D76" s="6">
        <v>0.42222222222222222</v>
      </c>
      <c r="E76" s="9">
        <f t="shared" si="26"/>
        <v>2.2222222222222199E-2</v>
      </c>
      <c r="N76" s="26" t="s">
        <v>82</v>
      </c>
      <c r="O76" s="27" t="s">
        <v>81</v>
      </c>
      <c r="P76" s="28">
        <v>0.50972222222222219</v>
      </c>
      <c r="Q76" s="31"/>
      <c r="R76" s="29">
        <f t="shared" si="34"/>
        <v>-0.50972222222222219</v>
      </c>
      <c r="S76" s="1"/>
      <c r="T76" t="e">
        <f t="shared" si="29"/>
        <v>#N/A</v>
      </c>
      <c r="U76" t="e">
        <f t="shared" si="30"/>
        <v>#N/A</v>
      </c>
      <c r="X76" s="1">
        <f>Table4[[#This Row],[Time Left]]-P75</f>
        <v>3.4722222222222099E-3</v>
      </c>
      <c r="AA76" s="22" t="s">
        <v>109</v>
      </c>
      <c r="AB76" s="23" t="s">
        <v>83</v>
      </c>
      <c r="AC76" s="24">
        <v>0.73819444444444449</v>
      </c>
      <c r="AD76" s="30"/>
      <c r="AE76" s="25">
        <f t="shared" si="31"/>
        <v>-0.73819444444444449</v>
      </c>
      <c r="AF76" s="36"/>
      <c r="AG76" s="39" t="e">
        <f t="shared" si="32"/>
        <v>#N/A</v>
      </c>
      <c r="AH76" s="39" t="e">
        <f t="shared" si="33"/>
        <v>#N/A</v>
      </c>
      <c r="AI76" s="36"/>
      <c r="AJ76" s="36"/>
      <c r="AK76" s="36">
        <f>Table5[[#This Row],[Time Left]]-AC75</f>
        <v>4.7222222222222276E-2</v>
      </c>
    </row>
    <row r="77" spans="1:40" ht="17" customHeight="1">
      <c r="A77" s="8" t="s">
        <v>111</v>
      </c>
      <c r="B77" s="5" t="s">
        <v>83</v>
      </c>
      <c r="C77" s="6">
        <v>0.40486111111111112</v>
      </c>
      <c r="D77" s="6">
        <v>0.4284722222222222</v>
      </c>
      <c r="E77" s="9">
        <f t="shared" si="26"/>
        <v>2.3611111111111083E-2</v>
      </c>
      <c r="N77" s="22" t="s">
        <v>97</v>
      </c>
      <c r="O77" s="23" t="s">
        <v>81</v>
      </c>
      <c r="P77" s="30"/>
      <c r="Q77" s="30"/>
      <c r="R77" s="25">
        <f t="shared" si="34"/>
        <v>0</v>
      </c>
      <c r="S77" s="1"/>
      <c r="T77" t="e">
        <f t="shared" si="29"/>
        <v>#N/A</v>
      </c>
      <c r="U77" t="e">
        <f t="shared" si="30"/>
        <v>#N/A</v>
      </c>
      <c r="X77" s="1">
        <f>Table4[[#This Row],[Time Left]]-P76</f>
        <v>-0.50972222222222219</v>
      </c>
      <c r="AA77" s="26" t="s">
        <v>111</v>
      </c>
      <c r="AB77" s="27" t="s">
        <v>83</v>
      </c>
      <c r="AC77" s="28">
        <v>0.74444444444444446</v>
      </c>
      <c r="AD77" s="31"/>
      <c r="AE77" s="29">
        <f t="shared" si="31"/>
        <v>-0.74444444444444446</v>
      </c>
      <c r="AF77" s="1"/>
      <c r="AG77" t="e">
        <f t="shared" si="32"/>
        <v>#N/A</v>
      </c>
      <c r="AH77" t="e">
        <f t="shared" si="33"/>
        <v>#N/A</v>
      </c>
      <c r="AI77" s="1"/>
      <c r="AJ77" s="1"/>
      <c r="AK77" s="1">
        <f>Table5[[#This Row],[Time Left]]-AC76</f>
        <v>6.2499999999999778E-3</v>
      </c>
    </row>
    <row r="78" spans="1:40" ht="17" customHeight="1">
      <c r="A78" s="8" t="s">
        <v>114</v>
      </c>
      <c r="B78" s="5" t="s">
        <v>83</v>
      </c>
      <c r="C78" s="6">
        <v>0.40902777777777782</v>
      </c>
      <c r="D78" s="6">
        <v>0.43402777777777779</v>
      </c>
      <c r="E78" s="9">
        <f t="shared" si="26"/>
        <v>2.4999999999999967E-2</v>
      </c>
      <c r="N78" s="22" t="s">
        <v>101</v>
      </c>
      <c r="O78" s="23" t="s">
        <v>81</v>
      </c>
      <c r="P78" s="24">
        <v>0.58680555555555558</v>
      </c>
      <c r="Q78" s="30"/>
      <c r="R78" s="25">
        <f t="shared" si="34"/>
        <v>-0.58680555555555558</v>
      </c>
      <c r="S78" s="1"/>
      <c r="T78" t="e">
        <f t="shared" si="29"/>
        <v>#N/A</v>
      </c>
      <c r="U78" t="e">
        <f t="shared" si="30"/>
        <v>#N/A</v>
      </c>
      <c r="X78" s="1">
        <f>Table4[[#This Row],[Time Left]]-P77</f>
        <v>0.58680555555555558</v>
      </c>
      <c r="AA78" s="22" t="s">
        <v>114</v>
      </c>
      <c r="AB78" s="23" t="s">
        <v>83</v>
      </c>
      <c r="AC78" s="30"/>
      <c r="AD78" s="30"/>
      <c r="AE78" s="25">
        <f t="shared" si="31"/>
        <v>0</v>
      </c>
      <c r="AF78" s="36"/>
      <c r="AG78" s="39" t="e">
        <f t="shared" si="32"/>
        <v>#N/A</v>
      </c>
      <c r="AH78" s="39" t="e">
        <f t="shared" si="33"/>
        <v>#N/A</v>
      </c>
      <c r="AI78" s="36"/>
      <c r="AJ78" s="36"/>
      <c r="AK78" s="36">
        <f>Table5[[#This Row],[Time Left]]-AC77</f>
        <v>-0.74444444444444446</v>
      </c>
      <c r="AM78" t="s">
        <v>141</v>
      </c>
    </row>
    <row r="79" spans="1:40" ht="17" customHeight="1">
      <c r="A79" s="8" t="s">
        <v>116</v>
      </c>
      <c r="B79" s="5" t="s">
        <v>83</v>
      </c>
      <c r="C79" s="6">
        <v>0.41388888888888892</v>
      </c>
      <c r="D79" s="6">
        <v>0.43888888888888888</v>
      </c>
      <c r="E79" s="9">
        <f t="shared" si="26"/>
        <v>2.4999999999999967E-2</v>
      </c>
      <c r="N79" s="22" t="s">
        <v>119</v>
      </c>
      <c r="O79" s="23" t="s">
        <v>81</v>
      </c>
      <c r="P79" s="24">
        <v>0.63680555555555551</v>
      </c>
      <c r="Q79" s="30"/>
      <c r="R79" s="25">
        <f t="shared" si="34"/>
        <v>-0.63680555555555551</v>
      </c>
      <c r="S79" s="1"/>
      <c r="T79" t="e">
        <f t="shared" si="29"/>
        <v>#N/A</v>
      </c>
      <c r="U79" t="e">
        <f t="shared" si="30"/>
        <v>#N/A</v>
      </c>
      <c r="X79" s="1">
        <f>Table4[[#This Row],[Time Left]]-P78</f>
        <v>4.9999999999999933E-2</v>
      </c>
      <c r="AA79" s="32" t="s">
        <v>116</v>
      </c>
      <c r="AB79" s="33" t="s">
        <v>83</v>
      </c>
      <c r="AC79" s="34"/>
      <c r="AD79" s="34"/>
      <c r="AE79" s="35">
        <f t="shared" si="31"/>
        <v>0</v>
      </c>
      <c r="AF79" s="1"/>
      <c r="AG79" t="e">
        <f t="shared" si="32"/>
        <v>#N/A</v>
      </c>
      <c r="AH79" t="e">
        <f t="shared" si="33"/>
        <v>#N/A</v>
      </c>
      <c r="AI79" s="1"/>
      <c r="AJ79" s="1"/>
      <c r="AK79" s="1">
        <f>Table5[[#This Row],[Time Left]]-AC78</f>
        <v>0</v>
      </c>
      <c r="AM79" t="s">
        <v>77</v>
      </c>
      <c r="AN79" t="s">
        <v>78</v>
      </c>
    </row>
    <row r="80" spans="1:40" ht="17" customHeight="1">
      <c r="A80" s="8" t="s">
        <v>98</v>
      </c>
      <c r="B80" s="5" t="s">
        <v>83</v>
      </c>
      <c r="C80" s="6">
        <v>0.41875000000000001</v>
      </c>
      <c r="D80" s="6">
        <v>0.44444444444444442</v>
      </c>
      <c r="E80" s="9">
        <f t="shared" si="26"/>
        <v>2.5694444444444409E-2</v>
      </c>
      <c r="N80" s="22" t="s">
        <v>99</v>
      </c>
      <c r="O80" s="23" t="s">
        <v>81</v>
      </c>
      <c r="P80" s="24">
        <v>0.71527777777777779</v>
      </c>
      <c r="Q80" s="30"/>
      <c r="R80" s="25">
        <f t="shared" si="34"/>
        <v>-0.71527777777777779</v>
      </c>
      <c r="S80" s="1"/>
      <c r="T80" t="e">
        <f t="shared" si="29"/>
        <v>#N/A</v>
      </c>
      <c r="U80" t="e">
        <f t="shared" si="30"/>
        <v>#N/A</v>
      </c>
      <c r="X80" s="1">
        <f>Table4[[#This Row],[Time Left]]-P79</f>
        <v>7.8472222222222276E-2</v>
      </c>
      <c r="AL80" s="1">
        <v>0.38541666666666669</v>
      </c>
      <c r="AM80">
        <v>5</v>
      </c>
      <c r="AN80">
        <v>3</v>
      </c>
    </row>
    <row r="81" spans="1:40" ht="17" customHeight="1">
      <c r="A81" s="8" t="s">
        <v>100</v>
      </c>
      <c r="B81" s="5" t="s">
        <v>83</v>
      </c>
      <c r="C81" s="6">
        <v>0.41944444444444451</v>
      </c>
      <c r="D81" s="7"/>
      <c r="E81" s="9">
        <f t="shared" si="26"/>
        <v>-0.41944444444444451</v>
      </c>
      <c r="N81" s="26" t="s">
        <v>113</v>
      </c>
      <c r="O81" s="27" t="s">
        <v>81</v>
      </c>
      <c r="P81" s="28">
        <v>0.73333333333333328</v>
      </c>
      <c r="Q81" s="31"/>
      <c r="R81" s="29">
        <f t="shared" si="34"/>
        <v>-0.73333333333333328</v>
      </c>
      <c r="S81" s="1"/>
      <c r="T81" t="e">
        <f t="shared" si="29"/>
        <v>#N/A</v>
      </c>
      <c r="U81" t="e">
        <f t="shared" si="30"/>
        <v>#N/A</v>
      </c>
      <c r="X81" s="1">
        <f>Table4[[#This Row],[Time Left]]-P80</f>
        <v>1.8055555555555491E-2</v>
      </c>
      <c r="AL81" s="1">
        <v>0.42708333333333331</v>
      </c>
      <c r="AM81">
        <v>11</v>
      </c>
      <c r="AN81">
        <v>14</v>
      </c>
    </row>
    <row r="82" spans="1:40" ht="17" customHeight="1">
      <c r="A82" s="8" t="s">
        <v>105</v>
      </c>
      <c r="B82" s="5" t="s">
        <v>83</v>
      </c>
      <c r="C82" s="6">
        <v>0.42430555555555549</v>
      </c>
      <c r="D82" s="6">
        <v>0.44722222222222219</v>
      </c>
      <c r="E82" s="9">
        <f t="shared" si="26"/>
        <v>2.2916666666666696E-2</v>
      </c>
      <c r="N82" s="22" t="s">
        <v>104</v>
      </c>
      <c r="O82" s="23" t="s">
        <v>81</v>
      </c>
      <c r="P82" s="24">
        <v>0.73819444444444449</v>
      </c>
      <c r="Q82" s="30"/>
      <c r="R82" s="25">
        <f t="shared" si="34"/>
        <v>-0.73819444444444449</v>
      </c>
      <c r="S82" s="1"/>
      <c r="T82" t="e">
        <f t="shared" si="29"/>
        <v>#N/A</v>
      </c>
      <c r="U82" t="e">
        <f t="shared" si="30"/>
        <v>#N/A</v>
      </c>
      <c r="X82" s="1">
        <f>Table4[[#This Row],[Time Left]]-P81</f>
        <v>4.8611111111112049E-3</v>
      </c>
      <c r="AL82" s="1">
        <v>0.46875</v>
      </c>
      <c r="AM82">
        <v>12</v>
      </c>
      <c r="AN82">
        <v>8</v>
      </c>
    </row>
    <row r="83" spans="1:40" ht="17" customHeight="1">
      <c r="A83" s="8" t="s">
        <v>103</v>
      </c>
      <c r="B83" s="5" t="s">
        <v>83</v>
      </c>
      <c r="C83" s="6">
        <v>0.42916666666666659</v>
      </c>
      <c r="D83" s="6">
        <v>0.45</v>
      </c>
      <c r="E83" s="9">
        <f t="shared" si="26"/>
        <v>2.0833333333333426E-2</v>
      </c>
      <c r="N83" s="26" t="s">
        <v>82</v>
      </c>
      <c r="O83" s="27" t="s">
        <v>81</v>
      </c>
      <c r="P83" s="28">
        <v>0.74375000000000002</v>
      </c>
      <c r="Q83" s="31"/>
      <c r="R83" s="29">
        <f t="shared" si="34"/>
        <v>-0.74375000000000002</v>
      </c>
      <c r="S83" s="1"/>
      <c r="T83" t="e">
        <f t="shared" si="29"/>
        <v>#N/A</v>
      </c>
      <c r="U83" t="e">
        <f t="shared" si="30"/>
        <v>#N/A</v>
      </c>
      <c r="X83" s="1">
        <f>Table4[[#This Row],[Time Left]]-P82</f>
        <v>5.5555555555555358E-3</v>
      </c>
      <c r="AL83" s="1">
        <v>0.51041666666666663</v>
      </c>
      <c r="AM83">
        <v>8</v>
      </c>
      <c r="AN83">
        <v>11</v>
      </c>
    </row>
    <row r="84" spans="1:40" ht="17" customHeight="1">
      <c r="A84" s="8" t="s">
        <v>109</v>
      </c>
      <c r="B84" s="5" t="s">
        <v>83</v>
      </c>
      <c r="C84" s="6">
        <v>0.43263888888888891</v>
      </c>
      <c r="D84" s="6">
        <v>0.45763888888888887</v>
      </c>
      <c r="E84" s="9">
        <f t="shared" si="26"/>
        <v>2.4999999999999967E-2</v>
      </c>
      <c r="N84" s="22" t="s">
        <v>97</v>
      </c>
      <c r="O84" s="23" t="s">
        <v>81</v>
      </c>
      <c r="P84" s="24">
        <v>0.74861111111111112</v>
      </c>
      <c r="Q84" s="30"/>
      <c r="R84" s="25">
        <f t="shared" si="34"/>
        <v>-0.74861111111111112</v>
      </c>
      <c r="S84" s="1"/>
      <c r="T84" t="e">
        <f t="shared" si="29"/>
        <v>#N/A</v>
      </c>
      <c r="U84" t="e">
        <f t="shared" si="30"/>
        <v>#N/A</v>
      </c>
      <c r="X84" s="1">
        <f>Table4[[#This Row],[Time Left]]-P83</f>
        <v>4.8611111111110938E-3</v>
      </c>
      <c r="AL84" s="1">
        <v>0.63541666666666663</v>
      </c>
    </row>
    <row r="85" spans="1:40" ht="17" customHeight="1">
      <c r="A85" s="8" t="s">
        <v>111</v>
      </c>
      <c r="B85" s="5" t="s">
        <v>83</v>
      </c>
      <c r="C85" s="6">
        <v>0.43888888888888888</v>
      </c>
      <c r="D85" s="6">
        <v>0.46180555555555558</v>
      </c>
      <c r="E85" s="9">
        <f t="shared" si="26"/>
        <v>2.2916666666666696E-2</v>
      </c>
      <c r="N85" s="32" t="s">
        <v>94</v>
      </c>
      <c r="O85" s="33" t="s">
        <v>81</v>
      </c>
      <c r="P85" s="34"/>
      <c r="Q85" s="34"/>
      <c r="R85" s="35">
        <f t="shared" si="34"/>
        <v>0</v>
      </c>
      <c r="S85" s="1"/>
      <c r="T85" t="e">
        <f t="shared" si="29"/>
        <v>#N/A</v>
      </c>
      <c r="U85" t="e">
        <f t="shared" si="30"/>
        <v>#N/A</v>
      </c>
      <c r="X85" s="1">
        <f>Table4[[#This Row],[Time Left]]-P84</f>
        <v>-0.74861111111111112</v>
      </c>
      <c r="AL85" s="1">
        <v>0.67708333333333337</v>
      </c>
      <c r="AM85">
        <v>8</v>
      </c>
      <c r="AN85">
        <v>8</v>
      </c>
    </row>
    <row r="86" spans="1:40" ht="17" customHeight="1">
      <c r="A86" s="8" t="s">
        <v>114</v>
      </c>
      <c r="B86" s="5" t="s">
        <v>83</v>
      </c>
      <c r="C86" s="6">
        <v>0.44305555555555548</v>
      </c>
      <c r="D86" s="6">
        <v>0.46875</v>
      </c>
      <c r="E86" s="9">
        <f t="shared" si="26"/>
        <v>2.569444444444452E-2</v>
      </c>
      <c r="AL86" s="1">
        <v>0.71875</v>
      </c>
      <c r="AM86">
        <v>9</v>
      </c>
      <c r="AN86">
        <v>8</v>
      </c>
    </row>
    <row r="87" spans="1:40" ht="17" customHeight="1">
      <c r="A87" s="8" t="s">
        <v>116</v>
      </c>
      <c r="B87" s="5" t="s">
        <v>83</v>
      </c>
      <c r="C87" s="6">
        <v>0.44791666666666669</v>
      </c>
      <c r="D87" s="6">
        <v>0.47361111111111109</v>
      </c>
      <c r="E87" s="9">
        <f t="shared" si="26"/>
        <v>2.5694444444444409E-2</v>
      </c>
      <c r="AL87" s="1">
        <v>0.76041666666666663</v>
      </c>
      <c r="AM87">
        <v>8</v>
      </c>
      <c r="AN87">
        <v>8</v>
      </c>
    </row>
    <row r="88" spans="1:40" ht="17" customHeight="1">
      <c r="A88" s="8" t="s">
        <v>98</v>
      </c>
      <c r="B88" s="5" t="s">
        <v>83</v>
      </c>
      <c r="C88" s="6">
        <v>0.45277777777777778</v>
      </c>
      <c r="D88" s="6">
        <v>0.4777777777777778</v>
      </c>
      <c r="E88" s="9">
        <f t="shared" si="26"/>
        <v>2.5000000000000022E-2</v>
      </c>
      <c r="AL88" t="s">
        <v>142</v>
      </c>
      <c r="AM88">
        <f>AVERAGE(AM80:AM87)</f>
        <v>8.7142857142857135</v>
      </c>
      <c r="AN88">
        <f>AVERAGE(AN80:AN87)</f>
        <v>8.5714285714285712</v>
      </c>
    </row>
    <row r="89" spans="1:40" ht="17" customHeight="1">
      <c r="A89" s="8" t="s">
        <v>105</v>
      </c>
      <c r="B89" s="5" t="s">
        <v>83</v>
      </c>
      <c r="C89" s="6">
        <v>0.45763888888888887</v>
      </c>
      <c r="D89" s="6">
        <v>0.48402777777777778</v>
      </c>
      <c r="E89" s="9">
        <f t="shared" si="26"/>
        <v>2.6388888888888906E-2</v>
      </c>
      <c r="AL89" t="s">
        <v>143</v>
      </c>
      <c r="AM89">
        <f>MEDIAN(AM80:AM87)</f>
        <v>8</v>
      </c>
      <c r="AN89">
        <f>MEDIAN(AN80:AN87)</f>
        <v>8</v>
      </c>
    </row>
    <row r="90" spans="1:40" ht="17" customHeight="1">
      <c r="A90" s="8" t="s">
        <v>122</v>
      </c>
      <c r="B90" s="5" t="s">
        <v>83</v>
      </c>
      <c r="C90" s="6">
        <v>0.46319444444444452</v>
      </c>
      <c r="D90" s="6">
        <v>0.48472222222222222</v>
      </c>
      <c r="E90" s="9">
        <f t="shared" si="26"/>
        <v>2.1527777777777701E-2</v>
      </c>
    </row>
    <row r="91" spans="1:40" ht="17" customHeight="1">
      <c r="A91" s="8" t="s">
        <v>109</v>
      </c>
      <c r="B91" s="5" t="s">
        <v>83</v>
      </c>
      <c r="C91" s="6">
        <v>0.46736111111111112</v>
      </c>
      <c r="D91" s="6">
        <v>0.48958333333333331</v>
      </c>
      <c r="E91" s="9">
        <f t="shared" si="26"/>
        <v>2.2222222222222199E-2</v>
      </c>
    </row>
    <row r="92" spans="1:40" ht="17" customHeight="1">
      <c r="A92" s="8" t="s">
        <v>111</v>
      </c>
      <c r="B92" s="5" t="s">
        <v>83</v>
      </c>
      <c r="C92" s="6">
        <v>0.47291666666666671</v>
      </c>
      <c r="D92" s="6">
        <v>0.49513888888888891</v>
      </c>
      <c r="E92" s="9">
        <f t="shared" si="26"/>
        <v>2.2222222222222199E-2</v>
      </c>
    </row>
    <row r="93" spans="1:40" ht="17" customHeight="1">
      <c r="A93" s="8" t="s">
        <v>82</v>
      </c>
      <c r="B93" s="5" t="s">
        <v>83</v>
      </c>
      <c r="C93" s="6">
        <v>0.47430555555555548</v>
      </c>
      <c r="D93" s="6">
        <v>0.50138888888888888</v>
      </c>
      <c r="E93" s="9">
        <f t="shared" si="26"/>
        <v>2.7083333333333404E-2</v>
      </c>
    </row>
    <row r="94" spans="1:40" ht="17" customHeight="1">
      <c r="A94" s="8" t="s">
        <v>114</v>
      </c>
      <c r="B94" s="5" t="s">
        <v>83</v>
      </c>
      <c r="C94" s="6">
        <v>0.47708333333333341</v>
      </c>
      <c r="D94" s="6">
        <v>0.50347222222222221</v>
      </c>
      <c r="E94" s="9">
        <f t="shared" si="26"/>
        <v>2.6388888888888795E-2</v>
      </c>
    </row>
    <row r="95" spans="1:40" ht="17" customHeight="1">
      <c r="A95" s="8" t="s">
        <v>116</v>
      </c>
      <c r="B95" s="5" t="s">
        <v>83</v>
      </c>
      <c r="C95" s="6">
        <v>0.48194444444444451</v>
      </c>
      <c r="D95" s="6">
        <v>0.50972222222222219</v>
      </c>
      <c r="E95" s="9">
        <f t="shared" si="26"/>
        <v>2.7777777777777679E-2</v>
      </c>
    </row>
    <row r="96" spans="1:40" ht="17" customHeight="1">
      <c r="A96" s="8" t="s">
        <v>98</v>
      </c>
      <c r="B96" s="5" t="s">
        <v>83</v>
      </c>
      <c r="C96" s="6">
        <v>0.48680555555555549</v>
      </c>
      <c r="D96" s="6">
        <v>0.5131944444444444</v>
      </c>
      <c r="E96" s="9">
        <f t="shared" si="26"/>
        <v>2.6388888888888906E-2</v>
      </c>
    </row>
    <row r="97" spans="1:5" ht="17" customHeight="1">
      <c r="A97" s="8" t="s">
        <v>105</v>
      </c>
      <c r="B97" s="5" t="s">
        <v>83</v>
      </c>
      <c r="C97" s="6">
        <v>0.49236111111111108</v>
      </c>
      <c r="D97" s="7"/>
      <c r="E97" s="9">
        <f t="shared" si="26"/>
        <v>-0.49236111111111108</v>
      </c>
    </row>
    <row r="98" spans="1:5" ht="17" customHeight="1">
      <c r="A98" s="8" t="s">
        <v>109</v>
      </c>
      <c r="B98" s="5" t="s">
        <v>83</v>
      </c>
      <c r="C98" s="6">
        <v>0.50208333333333333</v>
      </c>
      <c r="D98" s="7"/>
      <c r="E98" s="9">
        <f t="shared" ref="E98:E103" si="35">D98-C98</f>
        <v>-0.50208333333333333</v>
      </c>
    </row>
    <row r="99" spans="1:5" ht="17" customHeight="1">
      <c r="A99" s="8" t="s">
        <v>111</v>
      </c>
      <c r="B99" s="5" t="s">
        <v>83</v>
      </c>
      <c r="C99" s="6">
        <v>0.50069444444444444</v>
      </c>
      <c r="D99" s="7"/>
      <c r="E99" s="9">
        <f t="shared" si="35"/>
        <v>-0.50069444444444444</v>
      </c>
    </row>
    <row r="100" spans="1:5" ht="17" customHeight="1">
      <c r="A100" s="8" t="s">
        <v>114</v>
      </c>
      <c r="B100" s="5" t="s">
        <v>83</v>
      </c>
      <c r="C100" s="6">
        <v>0.51111111111111107</v>
      </c>
      <c r="D100" s="7"/>
      <c r="E100" s="9">
        <f t="shared" si="35"/>
        <v>-0.51111111111111107</v>
      </c>
    </row>
    <row r="101" spans="1:5" ht="17" customHeight="1">
      <c r="A101" s="8" t="s">
        <v>116</v>
      </c>
      <c r="B101" s="5" t="s">
        <v>83</v>
      </c>
      <c r="C101" s="7"/>
      <c r="D101" s="7"/>
      <c r="E101" s="9">
        <f t="shared" si="35"/>
        <v>0</v>
      </c>
    </row>
    <row r="102" spans="1:5" ht="17" customHeight="1">
      <c r="A102" s="8" t="s">
        <v>98</v>
      </c>
      <c r="B102" s="5" t="s">
        <v>83</v>
      </c>
      <c r="C102" s="7"/>
      <c r="D102" s="7"/>
      <c r="E102" s="9">
        <f t="shared" si="35"/>
        <v>0</v>
      </c>
    </row>
    <row r="103" spans="1:5" ht="17" customHeight="1">
      <c r="A103" s="13" t="s">
        <v>122</v>
      </c>
      <c r="B103" s="14" t="s">
        <v>140</v>
      </c>
      <c r="C103" s="17">
        <v>0.49722222222222218</v>
      </c>
      <c r="D103" s="15"/>
      <c r="E103" s="16">
        <f t="shared" si="35"/>
        <v>-0.49722222222222218</v>
      </c>
    </row>
  </sheetData>
  <pageMargins left="0.7" right="0.7" top="0.75" bottom="0.75" header="0.3" footer="0.3"/>
  <drawing r:id="rId1"/>
  <tableParts count="4">
    <tablePart r:id="rId2"/>
    <tablePart r:id="rId3"/>
    <tablePart r:id="rId4"/>
    <tablePart r:id="rId5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G103"/>
  <sheetViews>
    <sheetView topLeftCell="AH2" zoomScale="88" workbookViewId="0">
      <selection activeCell="AN1" sqref="AN1:AN11"/>
    </sheetView>
  </sheetViews>
  <sheetFormatPr baseColWidth="10" defaultRowHeight="16"/>
  <cols>
    <col min="1" max="1" width="18.1640625" customWidth="1"/>
    <col min="2" max="2" width="11.83203125" customWidth="1"/>
    <col min="3" max="3" width="11.33203125" customWidth="1"/>
    <col min="4" max="4" width="14.1640625" customWidth="1"/>
    <col min="5" max="5" width="12.33203125" customWidth="1"/>
    <col min="8" max="8" width="18.1640625" customWidth="1"/>
    <col min="9" max="9" width="12.1640625" customWidth="1"/>
    <col min="10" max="10" width="11.33203125" customWidth="1"/>
    <col min="11" max="11" width="14" customWidth="1"/>
    <col min="12" max="12" width="12" customWidth="1"/>
    <col min="14" max="14" width="18.1640625" customWidth="1"/>
    <col min="15" max="15" width="12.1640625" customWidth="1"/>
    <col min="16" max="16" width="11.33203125" customWidth="1"/>
    <col min="17" max="17" width="14" customWidth="1"/>
    <col min="18" max="18" width="12" customWidth="1"/>
    <col min="25" max="25" width="10.83203125" style="1" customWidth="1"/>
    <col min="27" max="27" width="18.1640625" customWidth="1"/>
    <col min="28" max="28" width="12.1640625" customWidth="1"/>
    <col min="29" max="29" width="11.33203125" customWidth="1"/>
    <col min="30" max="30" width="14" customWidth="1"/>
    <col min="31" max="39" width="12" customWidth="1"/>
  </cols>
  <sheetData>
    <row r="1" spans="1:58">
      <c r="A1" s="10" t="s">
        <v>63</v>
      </c>
      <c r="B1" s="11" t="s">
        <v>64</v>
      </c>
      <c r="C1" s="11" t="s">
        <v>65</v>
      </c>
      <c r="D1" s="11" t="s">
        <v>66</v>
      </c>
      <c r="E1" s="12" t="s">
        <v>67</v>
      </c>
      <c r="H1" s="10" t="s">
        <v>63</v>
      </c>
      <c r="I1" s="11" t="s">
        <v>64</v>
      </c>
      <c r="J1" s="11" t="s">
        <v>65</v>
      </c>
      <c r="K1" s="11" t="s">
        <v>66</v>
      </c>
      <c r="L1" s="12" t="s">
        <v>67</v>
      </c>
      <c r="N1" s="10" t="s">
        <v>63</v>
      </c>
      <c r="O1" s="11" t="s">
        <v>64</v>
      </c>
      <c r="P1" s="11" t="s">
        <v>65</v>
      </c>
      <c r="Q1" s="11" t="s">
        <v>66</v>
      </c>
      <c r="R1" s="12" t="s">
        <v>67</v>
      </c>
      <c r="S1" s="11" t="s">
        <v>68</v>
      </c>
      <c r="T1" s="11" t="s">
        <v>69</v>
      </c>
      <c r="U1" s="11" t="s">
        <v>70</v>
      </c>
      <c r="V1" s="11" t="s">
        <v>71</v>
      </c>
      <c r="W1" s="11" t="s">
        <v>72</v>
      </c>
      <c r="X1" s="65" t="s">
        <v>73</v>
      </c>
      <c r="Y1" s="66" t="s">
        <v>74</v>
      </c>
      <c r="AA1" s="10" t="s">
        <v>63</v>
      </c>
      <c r="AB1" s="11" t="s">
        <v>64</v>
      </c>
      <c r="AC1" s="11" t="s">
        <v>65</v>
      </c>
      <c r="AD1" s="11" t="s">
        <v>66</v>
      </c>
      <c r="AE1" s="12" t="s">
        <v>67</v>
      </c>
      <c r="AF1" s="11" t="s">
        <v>68</v>
      </c>
      <c r="AG1" s="11" t="s">
        <v>69</v>
      </c>
      <c r="AH1" s="11" t="s">
        <v>75</v>
      </c>
      <c r="AI1" s="11" t="s">
        <v>71</v>
      </c>
      <c r="AJ1" s="11" t="s">
        <v>72</v>
      </c>
      <c r="AK1" s="65" t="s">
        <v>73</v>
      </c>
      <c r="AL1" s="65" t="s">
        <v>74</v>
      </c>
      <c r="AN1" t="s">
        <v>76</v>
      </c>
      <c r="AO1" t="s">
        <v>77</v>
      </c>
      <c r="AV1" t="s">
        <v>78</v>
      </c>
    </row>
    <row r="2" spans="1:58" ht="17" customHeight="1">
      <c r="A2" s="8" t="s">
        <v>79</v>
      </c>
      <c r="B2" s="5">
        <v>20</v>
      </c>
      <c r="C2" s="6">
        <v>0.35555555555555562</v>
      </c>
      <c r="D2" s="6">
        <v>0.43958333333333333</v>
      </c>
      <c r="E2" s="9">
        <f t="shared" ref="E2:E33" si="0">D2-C2</f>
        <v>8.4027777777777701E-2</v>
      </c>
      <c r="H2" s="2" t="s">
        <v>79</v>
      </c>
      <c r="I2" s="2">
        <v>20</v>
      </c>
      <c r="J2" s="4"/>
      <c r="K2" s="4"/>
      <c r="L2" s="1">
        <f t="shared" ref="L2:L33" si="1">K2-J2</f>
        <v>0</v>
      </c>
      <c r="N2" s="5" t="s">
        <v>80</v>
      </c>
      <c r="O2" s="5" t="s">
        <v>81</v>
      </c>
      <c r="P2" s="6">
        <v>0.33055555555555549</v>
      </c>
      <c r="Q2" s="6">
        <v>0.35972222222222222</v>
      </c>
      <c r="R2" s="1">
        <f>Table48[[#This Row],[Time Arrived]]-Table48[[#This Row],[Time Left]]</f>
        <v>2.916666666666673E-2</v>
      </c>
      <c r="S2" s="1">
        <v>0.38541666666666669</v>
      </c>
      <c r="T2">
        <f t="shared" ref="T2:T33" si="2">_xlfn.RANK.AVG($Q2,$Q$2:$Q$65,0)</f>
        <v>64</v>
      </c>
      <c r="U2">
        <f t="shared" ref="U2:U33" si="3">_xlfn.RANK.AVG(R2,$R$2:$R$65,0)</f>
        <v>18</v>
      </c>
      <c r="V2">
        <f t="shared" ref="V2:V37" si="4">_xlfn.RANK.AVG($Q2,$Q$2:$Q$37,0)</f>
        <v>36</v>
      </c>
      <c r="W2">
        <f t="shared" ref="W2:W37" si="5">_xlfn.RANK.AVG($R2,$R$2:$R$37,0)</f>
        <v>5</v>
      </c>
      <c r="X2" s="1">
        <v>3.2083333333333332E-2</v>
      </c>
      <c r="Y2" s="1">
        <v>2.6249999999999999E-2</v>
      </c>
      <c r="AA2" s="19" t="s">
        <v>82</v>
      </c>
      <c r="AB2" s="19" t="s">
        <v>83</v>
      </c>
      <c r="AC2" s="20">
        <v>0.35138888888888892</v>
      </c>
      <c r="AD2" s="20">
        <v>0.37847222222222221</v>
      </c>
      <c r="AE2" s="36">
        <f>Table59[[#This Row],[Time Arrived]]-Table59[[#This Row],[Time Left]]</f>
        <v>2.7083333333333293E-2</v>
      </c>
      <c r="AF2" s="1">
        <v>0.38541666666666669</v>
      </c>
      <c r="AG2">
        <f t="shared" ref="AG2:AG33" si="6">_xlfn.RANK.AVG($AD2,$AD$2:$AD$66,0)</f>
        <v>65</v>
      </c>
      <c r="AH2">
        <f t="shared" ref="AH2:AH33" si="7">_xlfn.RANK.AVG($AE2,$AE$2:$AE$65,0)</f>
        <v>13.5</v>
      </c>
      <c r="AI2">
        <f t="shared" ref="AI2:AI37" si="8">_xlfn.RANK.AVG($AD2,$AD$2:$AD$37,0)</f>
        <v>36</v>
      </c>
      <c r="AJ2">
        <f t="shared" ref="AJ2:AJ37" si="9">_xlfn.RANK.AVG($AE2,$AE$2:$AE$37,0)</f>
        <v>7.5</v>
      </c>
      <c r="AK2" s="36">
        <v>2.9791666666666671E-2</v>
      </c>
      <c r="AL2" s="36">
        <v>2.4375000000000001E-2</v>
      </c>
      <c r="AM2" s="36"/>
      <c r="AO2" t="s">
        <v>84</v>
      </c>
      <c r="AP2" t="s">
        <v>85</v>
      </c>
      <c r="AQ2" t="s">
        <v>86</v>
      </c>
      <c r="AR2" t="s">
        <v>87</v>
      </c>
      <c r="AS2" t="s">
        <v>88</v>
      </c>
      <c r="AT2" t="s">
        <v>89</v>
      </c>
      <c r="AV2" t="s">
        <v>84</v>
      </c>
      <c r="AW2" t="s">
        <v>90</v>
      </c>
      <c r="AX2" t="s">
        <v>86</v>
      </c>
      <c r="AY2" t="s">
        <v>87</v>
      </c>
      <c r="AZ2" t="s">
        <v>88</v>
      </c>
      <c r="BA2" t="s">
        <v>91</v>
      </c>
    </row>
    <row r="3" spans="1:58" ht="17" customHeight="1">
      <c r="A3" s="8" t="s">
        <v>92</v>
      </c>
      <c r="B3" s="5">
        <v>20</v>
      </c>
      <c r="C3" s="6">
        <v>0.39791666666666659</v>
      </c>
      <c r="D3" s="6">
        <v>0.47361111111111109</v>
      </c>
      <c r="E3" s="9">
        <f t="shared" si="0"/>
        <v>7.5694444444444509E-2</v>
      </c>
      <c r="H3" s="2" t="s">
        <v>93</v>
      </c>
      <c r="I3" s="2">
        <v>22</v>
      </c>
      <c r="J3" s="4"/>
      <c r="K3" s="4"/>
      <c r="L3" s="1">
        <f t="shared" si="1"/>
        <v>0</v>
      </c>
      <c r="N3" s="19" t="s">
        <v>94</v>
      </c>
      <c r="O3" s="19" t="s">
        <v>81</v>
      </c>
      <c r="P3" s="20">
        <v>0.33888888888888891</v>
      </c>
      <c r="Q3" s="20">
        <v>0.36875000000000002</v>
      </c>
      <c r="R3" s="1">
        <f>Table48[[#This Row],[Time Arrived]]-Table48[[#This Row],[Time Left]]</f>
        <v>2.9861111111111116E-2</v>
      </c>
      <c r="S3" s="1">
        <v>0.38541666666666669</v>
      </c>
      <c r="T3">
        <f t="shared" si="2"/>
        <v>63</v>
      </c>
      <c r="U3">
        <f t="shared" si="3"/>
        <v>15</v>
      </c>
      <c r="V3">
        <f t="shared" si="4"/>
        <v>35</v>
      </c>
      <c r="W3">
        <f t="shared" si="5"/>
        <v>3</v>
      </c>
      <c r="X3" s="1">
        <v>3.2847222222222222E-2</v>
      </c>
      <c r="Y3" s="1">
        <v>2.6875E-2</v>
      </c>
      <c r="AA3" s="5" t="s">
        <v>95</v>
      </c>
      <c r="AB3" s="5" t="s">
        <v>83</v>
      </c>
      <c r="AC3" s="6">
        <v>0.35486111111111113</v>
      </c>
      <c r="AD3" s="6">
        <v>0.38055555555555548</v>
      </c>
      <c r="AE3" s="36">
        <f>Table59[[#This Row],[Time Arrived]]-Table59[[#This Row],[Time Left]]</f>
        <v>2.5694444444444353E-2</v>
      </c>
      <c r="AF3" s="1">
        <v>0.38541666666666669</v>
      </c>
      <c r="AG3">
        <f t="shared" si="6"/>
        <v>64</v>
      </c>
      <c r="AH3">
        <f t="shared" si="7"/>
        <v>31</v>
      </c>
      <c r="AI3">
        <f t="shared" si="8"/>
        <v>35</v>
      </c>
      <c r="AJ3">
        <f t="shared" si="9"/>
        <v>17</v>
      </c>
      <c r="AK3" s="1">
        <v>2.826388888888889E-2</v>
      </c>
      <c r="AL3" s="1">
        <v>2.3125E-2</v>
      </c>
      <c r="AM3" s="1"/>
      <c r="AN3" s="1">
        <v>0.38541666666666669</v>
      </c>
      <c r="AO3" s="1">
        <f>AVERAGE($R2:$R6)</f>
        <v>2.749999999999999E-2</v>
      </c>
      <c r="AP3" s="1">
        <f>MIN($R2:$R6)</f>
        <v>2.2222222222222199E-2</v>
      </c>
      <c r="AQ3" s="1">
        <f>_xlfn.QUARTILE.INC($R2:$R6,1)</f>
        <v>2.5694444444444409E-2</v>
      </c>
      <c r="AR3" s="1">
        <f>MEDIAN($R2:$R6)</f>
        <v>2.916666666666673E-2</v>
      </c>
      <c r="AS3" s="1">
        <f>_xlfn.QUARTILE.INC($R2:$R6,3)</f>
        <v>2.9861111111111116E-2</v>
      </c>
      <c r="AT3" s="1">
        <f>MAX($R2:$R6)</f>
        <v>3.0555555555555503E-2</v>
      </c>
      <c r="AU3" s="1"/>
      <c r="AV3" s="1">
        <f>AVERAGE($AE2:$AE4)</f>
        <v>2.6620370370370312E-2</v>
      </c>
      <c r="AW3" s="1">
        <f>_xlfn.QUARTILE.INC($AE2:$AE4,0)</f>
        <v>2.5694444444444353E-2</v>
      </c>
      <c r="AX3" s="1">
        <f>_xlfn.QUARTILE.INC($AE2:$AE4,1)</f>
        <v>2.6388888888888823E-2</v>
      </c>
      <c r="AY3" s="1">
        <f>_xlfn.QUARTILE.INC($AE2:$AE4,2)</f>
        <v>2.7083333333333293E-2</v>
      </c>
      <c r="AZ3" s="1">
        <f>_xlfn.QUARTILE.INC($AE2:$AE4,3)</f>
        <v>2.7083333333333293E-2</v>
      </c>
      <c r="BA3" s="1">
        <f>_xlfn.QUARTILE.INC($AE2:$AE4,4)</f>
        <v>2.7083333333333293E-2</v>
      </c>
    </row>
    <row r="4" spans="1:58" ht="17" customHeight="1">
      <c r="A4" s="8" t="s">
        <v>96</v>
      </c>
      <c r="B4" s="5">
        <v>20</v>
      </c>
      <c r="C4" s="6">
        <v>0.44097222222222221</v>
      </c>
      <c r="D4" s="7"/>
      <c r="E4" s="9">
        <f t="shared" si="0"/>
        <v>-0.44097222222222221</v>
      </c>
      <c r="H4" s="2" t="s">
        <v>97</v>
      </c>
      <c r="I4" s="2" t="s">
        <v>81</v>
      </c>
      <c r="J4" s="3">
        <v>0.59375</v>
      </c>
      <c r="K4" s="3">
        <v>0.62222222222222223</v>
      </c>
      <c r="L4" s="1">
        <f t="shared" si="1"/>
        <v>2.8472222222222232E-2</v>
      </c>
      <c r="N4" s="19" t="s">
        <v>97</v>
      </c>
      <c r="O4" s="19" t="s">
        <v>81</v>
      </c>
      <c r="P4" s="20">
        <v>0.35208333333333341</v>
      </c>
      <c r="Q4" s="20">
        <v>0.37777777777777782</v>
      </c>
      <c r="R4" s="1">
        <f>Table48[[#This Row],[Time Arrived]]-Table48[[#This Row],[Time Left]]</f>
        <v>2.5694444444444409E-2</v>
      </c>
      <c r="S4" s="1">
        <v>0.38541666666666669</v>
      </c>
      <c r="T4">
        <f t="shared" si="2"/>
        <v>62</v>
      </c>
      <c r="U4">
        <f t="shared" si="3"/>
        <v>38</v>
      </c>
      <c r="V4">
        <f t="shared" si="4"/>
        <v>34</v>
      </c>
      <c r="W4">
        <f t="shared" si="5"/>
        <v>19</v>
      </c>
      <c r="X4" s="1">
        <v>2.826388888888889E-2</v>
      </c>
      <c r="Y4" s="1">
        <v>2.3125E-2</v>
      </c>
      <c r="AA4" s="19" t="s">
        <v>98</v>
      </c>
      <c r="AB4" s="19" t="s">
        <v>83</v>
      </c>
      <c r="AC4" s="20">
        <v>0.3576388888888889</v>
      </c>
      <c r="AD4" s="20">
        <v>0.38472222222222219</v>
      </c>
      <c r="AE4" s="36">
        <f>Table59[[#This Row],[Time Arrived]]-Table59[[#This Row],[Time Left]]</f>
        <v>2.7083333333333293E-2</v>
      </c>
      <c r="AF4" s="1">
        <v>0.38541666666666669</v>
      </c>
      <c r="AG4">
        <f t="shared" si="6"/>
        <v>63</v>
      </c>
      <c r="AH4">
        <f t="shared" si="7"/>
        <v>13.5</v>
      </c>
      <c r="AI4">
        <f t="shared" si="8"/>
        <v>34</v>
      </c>
      <c r="AJ4">
        <f t="shared" si="9"/>
        <v>7.5</v>
      </c>
      <c r="AK4" s="36">
        <v>2.9791666666666671E-2</v>
      </c>
      <c r="AL4" s="36">
        <v>2.4375000000000001E-2</v>
      </c>
      <c r="AM4" s="36"/>
      <c r="AN4" s="1">
        <v>0.42708333333333331</v>
      </c>
      <c r="AO4" s="1">
        <f>AVERAGE($R7:$R17)</f>
        <v>2.4545454545454547E-2</v>
      </c>
      <c r="AP4" s="1">
        <f>MIN($R7:$R17)</f>
        <v>0.02</v>
      </c>
      <c r="AQ4" s="1">
        <f>_xlfn.QUARTILE.INC($R7:$R17,1)</f>
        <v>2.2812499999999999E-2</v>
      </c>
      <c r="AR4" s="1">
        <f>MEDIAN($R7:$R17)</f>
        <v>2.6249999999999999E-2</v>
      </c>
      <c r="AS4" s="1">
        <f>_xlfn.QUARTILE.INC($R7:$R17,3)</f>
        <v>2.6562499999999999E-2</v>
      </c>
      <c r="AT4" s="1">
        <f>MAX($R7:$R17)</f>
        <v>2.6875E-2</v>
      </c>
      <c r="AU4" s="1"/>
      <c r="AV4" s="1">
        <f>AVERAGE($AE5:$AE18)</f>
        <v>2.5595238095238098E-2</v>
      </c>
      <c r="AW4" s="1">
        <f>_xlfn.QUARTILE.INC($AE5:$AE18,0)</f>
        <v>2.2222222222222199E-2</v>
      </c>
      <c r="AX4" s="1">
        <f>_xlfn.QUARTILE.INC($AE5:$AE18,1)</f>
        <v>2.4479166666666677E-2</v>
      </c>
      <c r="AY4" s="1">
        <f>_xlfn.QUARTILE.INC($AE5:$AE18,2)</f>
        <v>2.5347222222222215E-2</v>
      </c>
      <c r="AZ4" s="1">
        <f>_xlfn.QUARTILE.INC($AE5:$AE18,3)</f>
        <v>2.7083333333333293E-2</v>
      </c>
      <c r="BA4" s="1">
        <f>_xlfn.QUARTILE.INC($AE5:$AE18,4)</f>
        <v>2.8472222222222232E-2</v>
      </c>
    </row>
    <row r="5" spans="1:58" ht="17" customHeight="1">
      <c r="A5" s="8" t="s">
        <v>92</v>
      </c>
      <c r="B5" s="5">
        <v>20</v>
      </c>
      <c r="C5" s="6">
        <v>0.47569444444444442</v>
      </c>
      <c r="D5" s="7"/>
      <c r="E5" s="9">
        <f t="shared" si="0"/>
        <v>-0.47569444444444442</v>
      </c>
      <c r="H5" s="2" t="s">
        <v>94</v>
      </c>
      <c r="I5" s="2" t="s">
        <v>81</v>
      </c>
      <c r="J5" s="3">
        <v>0.59791666666666665</v>
      </c>
      <c r="K5" s="3">
        <v>0.54166666666666663</v>
      </c>
      <c r="L5" s="1">
        <f t="shared" si="1"/>
        <v>-5.6250000000000022E-2</v>
      </c>
      <c r="N5" s="19" t="s">
        <v>99</v>
      </c>
      <c r="O5" s="19" t="s">
        <v>81</v>
      </c>
      <c r="P5" s="20">
        <v>0.35902777777777778</v>
      </c>
      <c r="Q5" s="20">
        <v>0.38124999999999998</v>
      </c>
      <c r="R5" s="1">
        <f>Table48[[#This Row],[Time Arrived]]-Table48[[#This Row],[Time Left]]</f>
        <v>2.2222222222222199E-2</v>
      </c>
      <c r="S5" s="1">
        <v>0.38541666666666669</v>
      </c>
      <c r="T5">
        <f t="shared" si="2"/>
        <v>61</v>
      </c>
      <c r="U5">
        <f t="shared" si="3"/>
        <v>59</v>
      </c>
      <c r="V5">
        <f t="shared" si="4"/>
        <v>33</v>
      </c>
      <c r="W5">
        <f t="shared" si="5"/>
        <v>31</v>
      </c>
      <c r="X5" s="1">
        <v>2.4444444444444449E-2</v>
      </c>
      <c r="Y5" s="1">
        <v>0.02</v>
      </c>
      <c r="AA5" s="19" t="s">
        <v>100</v>
      </c>
      <c r="AB5" s="19" t="s">
        <v>83</v>
      </c>
      <c r="AC5" s="20">
        <v>0.36249999999999999</v>
      </c>
      <c r="AD5" s="20">
        <v>0.38750000000000001</v>
      </c>
      <c r="AE5" s="36">
        <f>Table59[[#This Row],[Time Arrived]]-Table59[[#This Row],[Time Left]]</f>
        <v>2.5000000000000022E-2</v>
      </c>
      <c r="AF5" s="36">
        <v>0.42708333333333331</v>
      </c>
      <c r="AG5" s="39">
        <f t="shared" si="6"/>
        <v>62</v>
      </c>
      <c r="AH5" s="39">
        <f t="shared" si="7"/>
        <v>33.5</v>
      </c>
      <c r="AI5">
        <f t="shared" si="8"/>
        <v>33</v>
      </c>
      <c r="AJ5">
        <f t="shared" si="9"/>
        <v>19</v>
      </c>
      <c r="AK5" s="36">
        <v>2.75E-2</v>
      </c>
      <c r="AL5" s="36">
        <v>2.2499999999999999E-2</v>
      </c>
      <c r="AM5" s="36"/>
      <c r="AN5" s="1">
        <v>0.46875</v>
      </c>
      <c r="AO5" s="1">
        <f>AVERAGE($R18:$R29)</f>
        <v>2.5052083333333332E-2</v>
      </c>
      <c r="AP5" s="1">
        <f>MIN($R18:$R29)</f>
        <v>1.5625E-2</v>
      </c>
      <c r="AQ5" s="1">
        <f>_xlfn.QUARTILE.INC($R18:$R29,1)</f>
        <v>2.4375000000000001E-2</v>
      </c>
      <c r="AR5" s="1">
        <f>MEDIAN($R18:$R29)</f>
        <v>2.5312500000000002E-2</v>
      </c>
      <c r="AS5" s="1">
        <f>_xlfn.QUARTILE.INC($R18:$R29,3)</f>
        <v>2.75E-2</v>
      </c>
      <c r="AT5" s="1">
        <f>MAX($R18:$R29)</f>
        <v>3.125E-2</v>
      </c>
      <c r="AU5" s="1"/>
      <c r="AV5" s="1">
        <f>AVERAGE($AE19:$AE26)</f>
        <v>2.3871527777777776E-2</v>
      </c>
      <c r="AW5" s="1">
        <f>_xlfn.QUARTILE.INC($AE19:$AE26,0)</f>
        <v>2.0833333333333426E-2</v>
      </c>
      <c r="AX5" s="1">
        <f>_xlfn.QUARTILE.INC($AE19:$AE26,1)</f>
        <v>2.2916666666666696E-2</v>
      </c>
      <c r="AY5" s="1">
        <f>_xlfn.QUARTILE.INC($AE19:$AE26,2)</f>
        <v>2.4305555555555525E-2</v>
      </c>
      <c r="AZ5" s="1">
        <f>_xlfn.QUARTILE.INC($AE19:$AE26,3)</f>
        <v>2.4999999999999967E-2</v>
      </c>
      <c r="BA5" s="1">
        <f>_xlfn.QUARTILE.INC($AE19:$AE26,4)</f>
        <v>2.5694444444444409E-2</v>
      </c>
    </row>
    <row r="6" spans="1:58" ht="17" customHeight="1">
      <c r="A6" s="8" t="s">
        <v>93</v>
      </c>
      <c r="B6" s="5">
        <v>22</v>
      </c>
      <c r="C6" s="6">
        <v>0.32847222222222222</v>
      </c>
      <c r="D6" s="6">
        <v>0.37777777777777782</v>
      </c>
      <c r="E6" s="9">
        <f t="shared" si="0"/>
        <v>4.9305555555555602E-2</v>
      </c>
      <c r="H6" s="2" t="s">
        <v>101</v>
      </c>
      <c r="I6" s="2" t="s">
        <v>81</v>
      </c>
      <c r="J6" s="3">
        <v>0.58680555555555558</v>
      </c>
      <c r="K6" s="4"/>
      <c r="L6" s="1">
        <f t="shared" si="1"/>
        <v>-0.58680555555555558</v>
      </c>
      <c r="N6" s="5" t="s">
        <v>102</v>
      </c>
      <c r="O6" s="5" t="s">
        <v>81</v>
      </c>
      <c r="P6" s="6">
        <v>0.35208333333333341</v>
      </c>
      <c r="Q6" s="6">
        <v>0.38263888888888892</v>
      </c>
      <c r="R6" s="1">
        <f>Table48[[#This Row],[Time Arrived]]-Table48[[#This Row],[Time Left]]</f>
        <v>3.0555555555555503E-2</v>
      </c>
      <c r="S6" s="1">
        <v>0.38541666666666669</v>
      </c>
      <c r="T6">
        <f t="shared" si="2"/>
        <v>60</v>
      </c>
      <c r="U6">
        <f t="shared" si="3"/>
        <v>13</v>
      </c>
      <c r="V6">
        <f t="shared" si="4"/>
        <v>32</v>
      </c>
      <c r="W6">
        <f t="shared" si="5"/>
        <v>2</v>
      </c>
      <c r="X6" s="1">
        <v>3.3611111111111112E-2</v>
      </c>
      <c r="Y6" s="1">
        <v>2.75E-2</v>
      </c>
      <c r="AA6" s="5" t="s">
        <v>103</v>
      </c>
      <c r="AB6" s="5" t="s">
        <v>83</v>
      </c>
      <c r="AC6" s="6">
        <v>0.3659722222222222</v>
      </c>
      <c r="AD6" s="6">
        <v>0.3888888888888889</v>
      </c>
      <c r="AE6" s="36">
        <f>Table59[[#This Row],[Time Arrived]]-Table59[[#This Row],[Time Left]]</f>
        <v>2.2916666666666696E-2</v>
      </c>
      <c r="AF6" s="36">
        <v>0.42708333333333331</v>
      </c>
      <c r="AG6" s="39">
        <f t="shared" si="6"/>
        <v>61</v>
      </c>
      <c r="AH6" s="39">
        <f t="shared" si="7"/>
        <v>52.5</v>
      </c>
      <c r="AI6">
        <f t="shared" si="8"/>
        <v>32</v>
      </c>
      <c r="AJ6">
        <f t="shared" si="9"/>
        <v>29.5</v>
      </c>
      <c r="AK6" s="1">
        <v>2.5208333333333329E-2</v>
      </c>
      <c r="AL6" s="1">
        <v>2.0625000000000001E-2</v>
      </c>
      <c r="AM6" s="1"/>
      <c r="AN6" s="1">
        <v>0.51041666666666663</v>
      </c>
      <c r="AO6" s="1">
        <f>AVERAGE($R30:$R37)</f>
        <v>2.5859375E-2</v>
      </c>
      <c r="AP6" s="1">
        <f>MIN($R30:$R37)</f>
        <v>0.02</v>
      </c>
      <c r="AQ6" s="1">
        <f>_xlfn.QUARTILE.INC($R30:$R37,1)</f>
        <v>2.5624999999999998E-2</v>
      </c>
      <c r="AR6" s="1">
        <f>MEDIAN($R30:$R37)</f>
        <v>2.5937499999999999E-2</v>
      </c>
      <c r="AS6" s="1">
        <f>_xlfn.QUARTILE.INC($R30:$R37,3)</f>
        <v>2.703125E-2</v>
      </c>
      <c r="AT6" s="1">
        <f>MAX($R30:$R37)</f>
        <v>2.9374999999999998E-2</v>
      </c>
      <c r="AU6" s="1"/>
      <c r="AV6" s="1">
        <f>AVERAGE($AE27:$AE37)</f>
        <v>2.4810606060606047E-2</v>
      </c>
      <c r="AW6" s="1">
        <f>_xlfn.QUARTILE.INC($AE27:$AE37,0)</f>
        <v>2.1527777777777701E-2</v>
      </c>
      <c r="AX6" s="1">
        <f>_xlfn.QUARTILE.INC($AE27:$AE37,1)</f>
        <v>2.2569444444444448E-2</v>
      </c>
      <c r="AY6" s="1">
        <f>_xlfn.QUARTILE.INC($AE27:$AE37,2)</f>
        <v>2.5694444444444409E-2</v>
      </c>
      <c r="AZ6" s="1">
        <f>_xlfn.QUARTILE.INC($AE27:$AE37,3)</f>
        <v>2.6388888888888851E-2</v>
      </c>
      <c r="BA6" s="1">
        <f>_xlfn.QUARTILE.INC($AE27:$AE37,4)</f>
        <v>2.7777777777777679E-2</v>
      </c>
    </row>
    <row r="7" spans="1:58" ht="17" customHeight="1">
      <c r="A7" s="8" t="s">
        <v>93</v>
      </c>
      <c r="B7" s="5">
        <v>22</v>
      </c>
      <c r="C7" s="6">
        <v>0.38194444444444442</v>
      </c>
      <c r="D7" s="6">
        <v>0.42222222222222222</v>
      </c>
      <c r="E7" s="9">
        <f t="shared" si="0"/>
        <v>4.0277777777777801E-2</v>
      </c>
      <c r="H7" s="2" t="s">
        <v>99</v>
      </c>
      <c r="I7" s="2" t="s">
        <v>81</v>
      </c>
      <c r="J7" s="3">
        <v>0.60347222222222219</v>
      </c>
      <c r="K7" s="3">
        <v>0.63124999999999998</v>
      </c>
      <c r="L7" s="1">
        <f t="shared" si="1"/>
        <v>2.777777777777779E-2</v>
      </c>
      <c r="N7" s="5" t="s">
        <v>104</v>
      </c>
      <c r="O7" s="5" t="s">
        <v>81</v>
      </c>
      <c r="P7" s="6">
        <v>0.35625000000000001</v>
      </c>
      <c r="Q7" s="6">
        <v>0.38611111111111113</v>
      </c>
      <c r="R7" s="1">
        <v>2.6875E-2</v>
      </c>
      <c r="S7" s="1">
        <v>0.42708333333333331</v>
      </c>
      <c r="T7">
        <f t="shared" si="2"/>
        <v>59</v>
      </c>
      <c r="U7">
        <f t="shared" si="3"/>
        <v>31</v>
      </c>
      <c r="V7">
        <f t="shared" si="4"/>
        <v>31</v>
      </c>
      <c r="W7">
        <f t="shared" si="5"/>
        <v>12</v>
      </c>
      <c r="X7" s="1">
        <v>3.2847222222222222E-2</v>
      </c>
      <c r="Y7" s="1">
        <v>2.6875E-2</v>
      </c>
      <c r="AA7" s="5" t="s">
        <v>105</v>
      </c>
      <c r="AB7" s="5" t="s">
        <v>83</v>
      </c>
      <c r="AC7" s="6">
        <v>0.3611111111111111</v>
      </c>
      <c r="AD7" s="6">
        <v>0.38958333333333328</v>
      </c>
      <c r="AE7" s="36">
        <f>Table59[[#This Row],[Time Arrived]]-Table59[[#This Row],[Time Left]]</f>
        <v>2.8472222222222177E-2</v>
      </c>
      <c r="AF7" s="36">
        <v>0.42708333333333331</v>
      </c>
      <c r="AG7" s="39">
        <f t="shared" si="6"/>
        <v>60</v>
      </c>
      <c r="AH7" s="39">
        <f t="shared" si="7"/>
        <v>4</v>
      </c>
      <c r="AI7">
        <f t="shared" si="8"/>
        <v>31</v>
      </c>
      <c r="AJ7">
        <f t="shared" si="9"/>
        <v>2</v>
      </c>
      <c r="AK7" s="1">
        <v>3.1319444444444441E-2</v>
      </c>
      <c r="AL7" s="1">
        <v>2.5624999999999998E-2</v>
      </c>
      <c r="AM7" s="1"/>
      <c r="AN7" s="1">
        <v>0.63541666666666663</v>
      </c>
      <c r="AO7" s="1">
        <f>AVERAGE($R38:$R40)</f>
        <v>2.5000000000000005E-2</v>
      </c>
      <c r="AP7" s="1">
        <f>MIN($R38:$R40)</f>
        <v>2.4375000000000001E-2</v>
      </c>
      <c r="AQ7" s="1">
        <f>MEDIAN($R38:$R40)</f>
        <v>2.5000000000000001E-2</v>
      </c>
      <c r="AR7" s="1">
        <f>MEDIAN($R38:$R40)</f>
        <v>2.5000000000000001E-2</v>
      </c>
      <c r="AS7" s="1">
        <f>_xlfn.QUARTILE.INC($R38:$R40,3)</f>
        <v>2.5312500000000002E-2</v>
      </c>
      <c r="AT7" s="1">
        <f>MAX($R38:$R40)</f>
        <v>2.5624999999999998E-2</v>
      </c>
      <c r="AU7" s="1"/>
      <c r="AV7" s="1">
        <f>AVERAGE($AE38:$AE42)</f>
        <v>2.416666666666669E-2</v>
      </c>
      <c r="AW7" s="1">
        <f>_xlfn.QUARTILE.INC($AE38:$AE42,0)</f>
        <v>2.2222222222222254E-2</v>
      </c>
      <c r="AX7" s="1">
        <f>_xlfn.QUARTILE.INC($AE38:$AE42,1)</f>
        <v>2.2916666666666696E-2</v>
      </c>
      <c r="AY7" s="1">
        <f>_xlfn.QUARTILE.INC($AE38:$AE42,2)</f>
        <v>2.3611111111111138E-2</v>
      </c>
      <c r="AZ7" s="1">
        <f>_xlfn.QUARTILE.INC($AE38:$AE42,3)</f>
        <v>2.5694444444444464E-2</v>
      </c>
      <c r="BA7" s="1">
        <f>_xlfn.QUARTILE.INC($AE38:$AE42,4)</f>
        <v>2.6388888888888906E-2</v>
      </c>
    </row>
    <row r="8" spans="1:58" ht="17" customHeight="1">
      <c r="A8" s="8" t="s">
        <v>93</v>
      </c>
      <c r="B8" s="5">
        <v>22</v>
      </c>
      <c r="C8" s="5" t="s">
        <v>106</v>
      </c>
      <c r="D8" s="6">
        <v>0.50416666666666665</v>
      </c>
      <c r="E8" s="9" t="e">
        <f t="shared" si="0"/>
        <v>#VALUE!</v>
      </c>
      <c r="H8" s="2" t="s">
        <v>107</v>
      </c>
      <c r="I8" s="2" t="s">
        <v>81</v>
      </c>
      <c r="J8" s="3">
        <v>0.60833333333333328</v>
      </c>
      <c r="K8" s="3">
        <v>0.63611111111111107</v>
      </c>
      <c r="L8" s="1">
        <f t="shared" si="1"/>
        <v>2.777777777777779E-2</v>
      </c>
      <c r="N8" s="5" t="s">
        <v>108</v>
      </c>
      <c r="O8" s="5" t="s">
        <v>81</v>
      </c>
      <c r="P8" s="6">
        <v>0.36805555555555558</v>
      </c>
      <c r="Q8" s="6">
        <v>0.39027777777777778</v>
      </c>
      <c r="R8" s="1">
        <v>0.02</v>
      </c>
      <c r="S8" s="1">
        <v>0.42708333333333331</v>
      </c>
      <c r="T8">
        <f t="shared" si="2"/>
        <v>58</v>
      </c>
      <c r="U8">
        <f t="shared" si="3"/>
        <v>62</v>
      </c>
      <c r="V8">
        <f t="shared" si="4"/>
        <v>30</v>
      </c>
      <c r="W8">
        <f t="shared" si="5"/>
        <v>34</v>
      </c>
      <c r="X8" s="1">
        <v>2.4444444444444449E-2</v>
      </c>
      <c r="Y8" s="1">
        <v>0.02</v>
      </c>
      <c r="AA8" s="19" t="s">
        <v>109</v>
      </c>
      <c r="AB8" s="19" t="s">
        <v>83</v>
      </c>
      <c r="AC8" s="20">
        <v>0.36736111111111108</v>
      </c>
      <c r="AD8" s="20">
        <v>0.39583333333333331</v>
      </c>
      <c r="AE8" s="36">
        <f>Table59[[#This Row],[Time Arrived]]-Table59[[#This Row],[Time Left]]</f>
        <v>2.8472222222222232E-2</v>
      </c>
      <c r="AF8" s="36">
        <v>0.42708333333333331</v>
      </c>
      <c r="AG8" s="39">
        <f t="shared" si="6"/>
        <v>59</v>
      </c>
      <c r="AH8" s="39">
        <f t="shared" si="7"/>
        <v>2.5</v>
      </c>
      <c r="AI8">
        <f t="shared" si="8"/>
        <v>30</v>
      </c>
      <c r="AJ8">
        <f t="shared" si="9"/>
        <v>1</v>
      </c>
      <c r="AK8" s="36">
        <v>3.1319444444444441E-2</v>
      </c>
      <c r="AL8" s="36">
        <v>2.5624999999999998E-2</v>
      </c>
      <c r="AM8" s="36"/>
      <c r="AN8" s="1">
        <v>0.67708333333333337</v>
      </c>
      <c r="AO8" s="1">
        <f>AVERAGE($R41:$R48)</f>
        <v>2.5980902777777766E-2</v>
      </c>
      <c r="AP8" s="1">
        <f>MIN($R41:$R48)</f>
        <v>2.2499999999999999E-2</v>
      </c>
      <c r="AQ8" s="1">
        <f>_xlfn.QUARTILE.INC($R41:$R48,1)</f>
        <v>2.4843750000000001E-2</v>
      </c>
      <c r="AR8" s="1">
        <f>MEDIAN($R41:$R48)</f>
        <v>2.5000000000000001E-2</v>
      </c>
      <c r="AS8" s="1">
        <f>_xlfn.QUARTILE.INC($R41:$R48,3)</f>
        <v>2.633680555555553E-2</v>
      </c>
      <c r="AT8" s="1">
        <f>MAX($R41:$R48)</f>
        <v>3.1875000000000001E-2</v>
      </c>
      <c r="AU8" s="1"/>
      <c r="AV8" s="1">
        <f>AVERAGE($AE43:$AE50)</f>
        <v>2.3524305555555541E-2</v>
      </c>
      <c r="AW8" s="1">
        <f>_xlfn.QUARTILE.INC($AE43:$AE50,0)</f>
        <v>2.0833333333333259E-2</v>
      </c>
      <c r="AX8" s="1">
        <f>_xlfn.QUARTILE.INC($AE43:$AE50,1)</f>
        <v>2.2743055555555475E-2</v>
      </c>
      <c r="AY8" s="1">
        <f>_xlfn.QUARTILE.INC($AE43:$AE50,2)</f>
        <v>2.3263888888888917E-2</v>
      </c>
      <c r="AZ8" s="1">
        <f>_xlfn.QUARTILE.INC($AE43:$AE50,3)</f>
        <v>2.4479166666666691E-2</v>
      </c>
      <c r="BA8" s="1">
        <f>_xlfn.QUARTILE.INC($AE43:$AE50,4)</f>
        <v>2.6388888888888906E-2</v>
      </c>
    </row>
    <row r="9" spans="1:58" ht="17" customHeight="1">
      <c r="A9" s="8" t="s">
        <v>93</v>
      </c>
      <c r="B9" s="5">
        <v>22</v>
      </c>
      <c r="C9" s="7"/>
      <c r="D9" s="7"/>
      <c r="E9" s="9">
        <f t="shared" si="0"/>
        <v>0</v>
      </c>
      <c r="H9" s="2" t="s">
        <v>108</v>
      </c>
      <c r="I9" s="2" t="s">
        <v>81</v>
      </c>
      <c r="J9" s="3">
        <v>0.61388888888888893</v>
      </c>
      <c r="K9" s="3">
        <v>0.64236111111111116</v>
      </c>
      <c r="L9" s="1">
        <f t="shared" si="1"/>
        <v>2.8472222222222232E-2</v>
      </c>
      <c r="N9" s="5" t="s">
        <v>110</v>
      </c>
      <c r="O9" s="5" t="s">
        <v>81</v>
      </c>
      <c r="P9" s="6">
        <v>0.36249999999999999</v>
      </c>
      <c r="Q9" s="6">
        <v>0.3923611111111111</v>
      </c>
      <c r="R9" s="1">
        <v>2.6875E-2</v>
      </c>
      <c r="S9" s="1">
        <v>0.42708333333333331</v>
      </c>
      <c r="T9">
        <f t="shared" si="2"/>
        <v>57</v>
      </c>
      <c r="U9">
        <f t="shared" si="3"/>
        <v>31</v>
      </c>
      <c r="V9">
        <f t="shared" si="4"/>
        <v>29</v>
      </c>
      <c r="W9">
        <f t="shared" si="5"/>
        <v>12</v>
      </c>
      <c r="X9" s="1">
        <v>3.2847222222222222E-2</v>
      </c>
      <c r="Y9" s="1">
        <v>2.6875E-2</v>
      </c>
      <c r="AA9" s="5" t="s">
        <v>111</v>
      </c>
      <c r="AB9" s="5" t="s">
        <v>83</v>
      </c>
      <c r="AC9" s="6">
        <v>0.375</v>
      </c>
      <c r="AD9" s="6">
        <v>0.4</v>
      </c>
      <c r="AE9" s="36">
        <f>Table59[[#This Row],[Time Arrived]]-Table59[[#This Row],[Time Left]]</f>
        <v>2.5000000000000022E-2</v>
      </c>
      <c r="AF9" s="36">
        <v>0.42708333333333331</v>
      </c>
      <c r="AG9" s="39">
        <f t="shared" si="6"/>
        <v>58</v>
      </c>
      <c r="AH9" s="39">
        <f t="shared" si="7"/>
        <v>33.5</v>
      </c>
      <c r="AI9">
        <f t="shared" si="8"/>
        <v>29</v>
      </c>
      <c r="AJ9">
        <f t="shared" si="9"/>
        <v>19</v>
      </c>
      <c r="AK9" s="1">
        <v>2.75E-2</v>
      </c>
      <c r="AL9" s="1">
        <v>2.2499999999999999E-2</v>
      </c>
      <c r="AM9" s="1"/>
      <c r="AN9" s="1">
        <v>0.71875</v>
      </c>
      <c r="AO9" s="1">
        <f>AVERAGE($R49:$R57)</f>
        <v>3.0401234567901239E-2</v>
      </c>
      <c r="AP9" s="1">
        <f>MIN($R49:$R57)</f>
        <v>2.8472222222222232E-2</v>
      </c>
      <c r="AQ9" s="1">
        <f>_xlfn.QUARTILE.INC($R49:$R57,1)</f>
        <v>2.9166666666666674E-2</v>
      </c>
      <c r="AR9" s="1">
        <f>MEDIAN($R49:$R57)</f>
        <v>2.9861111111111116E-2</v>
      </c>
      <c r="AS9" s="1">
        <f>_xlfn.QUARTILE.INC($R49:$R57,3)</f>
        <v>3.125E-2</v>
      </c>
      <c r="AT9" s="1">
        <f>MAX($R49:$R57)</f>
        <v>3.3333333333333326E-2</v>
      </c>
      <c r="AU9" s="1"/>
      <c r="AV9" s="1">
        <f>AVERAGE($AE51:$AE58)</f>
        <v>2.6388888888888906E-2</v>
      </c>
      <c r="AW9" s="1">
        <f>_xlfn.QUARTILE.INC($AE51:$AE58,0)</f>
        <v>2.430555555555558E-2</v>
      </c>
      <c r="AX9" s="1">
        <f>_xlfn.QUARTILE.INC($AE51:$AE58,1)</f>
        <v>2.430555555555558E-2</v>
      </c>
      <c r="AY9" s="1">
        <f>_xlfn.QUARTILE.INC($AE51:$AE58,2)</f>
        <v>2.6388888888888906E-2</v>
      </c>
      <c r="AZ9" s="1">
        <f>_xlfn.QUARTILE.INC($AE51:$AE58,3)</f>
        <v>2.7083333333333348E-2</v>
      </c>
      <c r="BA9" s="1">
        <f>_xlfn.QUARTILE.INC($AE51:$AE58,4)</f>
        <v>3.125E-2</v>
      </c>
    </row>
    <row r="10" spans="1:58" ht="17" customHeight="1">
      <c r="A10" s="8" t="s">
        <v>82</v>
      </c>
      <c r="B10" s="5" t="s">
        <v>112</v>
      </c>
      <c r="C10" s="6">
        <v>0.41111111111111109</v>
      </c>
      <c r="D10" s="6">
        <v>0.46875</v>
      </c>
      <c r="E10" s="9">
        <f t="shared" si="0"/>
        <v>5.7638888888888906E-2</v>
      </c>
      <c r="H10" s="2" t="s">
        <v>113</v>
      </c>
      <c r="I10" s="2" t="s">
        <v>81</v>
      </c>
      <c r="J10" s="3">
        <v>0.62083333333333335</v>
      </c>
      <c r="K10" s="3">
        <v>0.64583333333333337</v>
      </c>
      <c r="L10" s="1">
        <f t="shared" si="1"/>
        <v>2.5000000000000022E-2</v>
      </c>
      <c r="N10" s="19" t="s">
        <v>113</v>
      </c>
      <c r="O10" s="19" t="s">
        <v>81</v>
      </c>
      <c r="P10" s="20">
        <v>0.37013888888888891</v>
      </c>
      <c r="Q10" s="20">
        <v>0.39583333333333331</v>
      </c>
      <c r="R10" s="1">
        <v>2.3125E-2</v>
      </c>
      <c r="S10" s="1">
        <v>0.42708333333333331</v>
      </c>
      <c r="T10">
        <f t="shared" si="2"/>
        <v>56</v>
      </c>
      <c r="U10">
        <f t="shared" si="3"/>
        <v>55.5</v>
      </c>
      <c r="V10">
        <f t="shared" si="4"/>
        <v>28</v>
      </c>
      <c r="W10">
        <f t="shared" si="5"/>
        <v>28.5</v>
      </c>
      <c r="X10" s="1">
        <v>2.826388888888889E-2</v>
      </c>
      <c r="Y10" s="1">
        <v>2.3125E-2</v>
      </c>
      <c r="AA10" s="19" t="s">
        <v>114</v>
      </c>
      <c r="AB10" s="19" t="s">
        <v>83</v>
      </c>
      <c r="AC10" s="20">
        <v>0.37986111111111109</v>
      </c>
      <c r="AD10" s="20">
        <v>0.40416666666666667</v>
      </c>
      <c r="AE10" s="36">
        <f>Table59[[#This Row],[Time Arrived]]-Table59[[#This Row],[Time Left]]</f>
        <v>2.430555555555558E-2</v>
      </c>
      <c r="AF10" s="36">
        <v>0.42708333333333331</v>
      </c>
      <c r="AG10" s="39">
        <f t="shared" si="6"/>
        <v>57</v>
      </c>
      <c r="AH10" s="39">
        <f t="shared" si="7"/>
        <v>42</v>
      </c>
      <c r="AI10">
        <f t="shared" si="8"/>
        <v>28</v>
      </c>
      <c r="AJ10">
        <f t="shared" si="9"/>
        <v>25</v>
      </c>
      <c r="AK10" s="36">
        <v>2.673611111111111E-2</v>
      </c>
      <c r="AL10" s="36">
        <v>2.1874999999999999E-2</v>
      </c>
      <c r="AM10" s="36"/>
      <c r="AN10" s="1">
        <v>0.76041666666666663</v>
      </c>
      <c r="AO10" s="1">
        <f>AVERAGE($R58:$R65)</f>
        <v>3.0989583333333334E-2</v>
      </c>
      <c r="AP10" s="1">
        <f>MIN($R58:$R65)</f>
        <v>2.9166666666666674E-2</v>
      </c>
      <c r="AQ10" s="1">
        <f>_xlfn.QUARTILE.INC($R58:$R65,1)</f>
        <v>3.0381944444444448E-2</v>
      </c>
      <c r="AR10" s="1">
        <f>MEDIAN($R58:$R65)</f>
        <v>3.125E-2</v>
      </c>
      <c r="AS10" s="1">
        <f>_xlfn.QUARTILE.INC($R58:$R65,3)</f>
        <v>3.142361111111111E-2</v>
      </c>
      <c r="AT10" s="1">
        <f>MAX($R58:$R65)</f>
        <v>3.2638888888888884E-2</v>
      </c>
      <c r="AU10" s="1"/>
      <c r="AV10" s="1">
        <f>AVERAGE($AE59:$AE66)</f>
        <v>2.6388888888888906E-2</v>
      </c>
      <c r="AW10" s="1">
        <f>_xlfn.QUARTILE.INC($AE59:$AE66,0)</f>
        <v>2.3611111111111138E-2</v>
      </c>
      <c r="AX10" s="1">
        <f>_xlfn.QUARTILE.INC($AE59:$AE66,1)</f>
        <v>2.6215277777777796E-2</v>
      </c>
      <c r="AY10" s="1">
        <f>_xlfn.QUARTILE.INC($AE59:$AE66,2)</f>
        <v>2.6388888888888906E-2</v>
      </c>
      <c r="AZ10" s="1">
        <f>_xlfn.QUARTILE.INC($AE59:$AE66,3)</f>
        <v>2.7083333333333348E-2</v>
      </c>
      <c r="BA10" s="1">
        <f>_xlfn.QUARTILE.INC($AE59:$AE66,4)</f>
        <v>2.8472222222222232E-2</v>
      </c>
    </row>
    <row r="11" spans="1:58" ht="17" customHeight="1">
      <c r="A11" s="8" t="s">
        <v>80</v>
      </c>
      <c r="B11" s="5" t="s">
        <v>81</v>
      </c>
      <c r="C11" s="6">
        <v>0.33055555555555549</v>
      </c>
      <c r="D11" s="6">
        <v>0.35972222222222222</v>
      </c>
      <c r="E11" s="9">
        <f t="shared" si="0"/>
        <v>2.916666666666673E-2</v>
      </c>
      <c r="H11" s="2" t="s">
        <v>104</v>
      </c>
      <c r="I11" s="2" t="s">
        <v>81</v>
      </c>
      <c r="J11" s="3">
        <v>0.62152777777777779</v>
      </c>
      <c r="K11" s="3">
        <v>0.65694444444444444</v>
      </c>
      <c r="L11" s="1">
        <f t="shared" si="1"/>
        <v>3.5416666666666652E-2</v>
      </c>
      <c r="N11" s="19" t="s">
        <v>115</v>
      </c>
      <c r="O11" s="19" t="s">
        <v>81</v>
      </c>
      <c r="P11" s="20">
        <v>0.36944444444444452</v>
      </c>
      <c r="Q11" s="20">
        <v>0.39861111111111108</v>
      </c>
      <c r="R11" s="1">
        <v>2.6249999999999999E-2</v>
      </c>
      <c r="S11" s="1">
        <v>0.42708333333333331</v>
      </c>
      <c r="T11">
        <f t="shared" si="2"/>
        <v>55</v>
      </c>
      <c r="U11">
        <f t="shared" si="3"/>
        <v>35.5</v>
      </c>
      <c r="V11">
        <f t="shared" si="4"/>
        <v>27</v>
      </c>
      <c r="W11">
        <f t="shared" si="5"/>
        <v>16.5</v>
      </c>
      <c r="X11" s="1">
        <v>3.2083333333333332E-2</v>
      </c>
      <c r="Y11" s="1">
        <v>2.6249999999999999E-2</v>
      </c>
      <c r="AA11" s="5" t="s">
        <v>116</v>
      </c>
      <c r="AB11" s="5" t="s">
        <v>83</v>
      </c>
      <c r="AC11" s="6">
        <v>0.38124999999999998</v>
      </c>
      <c r="AD11" s="6">
        <v>0.40763888888888888</v>
      </c>
      <c r="AE11" s="36">
        <f>Table59[[#This Row],[Time Arrived]]-Table59[[#This Row],[Time Left]]</f>
        <v>2.6388888888888906E-2</v>
      </c>
      <c r="AF11" s="36">
        <v>0.42708333333333331</v>
      </c>
      <c r="AG11" s="39">
        <f t="shared" si="6"/>
        <v>56</v>
      </c>
      <c r="AH11" s="39">
        <f t="shared" si="7"/>
        <v>19.5</v>
      </c>
      <c r="AI11">
        <f t="shared" si="8"/>
        <v>27</v>
      </c>
      <c r="AJ11">
        <f t="shared" si="9"/>
        <v>10.5</v>
      </c>
      <c r="AK11" s="1">
        <v>2.9027777777777781E-2</v>
      </c>
      <c r="AL11" s="1">
        <v>2.375E-2</v>
      </c>
      <c r="AM11" s="1"/>
      <c r="AN11" t="s">
        <v>117</v>
      </c>
      <c r="AO11" s="1">
        <f>AVERAGE($R2:$R65)</f>
        <v>2.6865234374999998E-2</v>
      </c>
      <c r="AP11" s="1">
        <f>MIN($R2:$R65)</f>
        <v>1.5625E-2</v>
      </c>
      <c r="AQ11" s="1">
        <f>_xlfn.QUARTILE.INC($R2:$R65,1)</f>
        <v>2.5000000000000001E-2</v>
      </c>
      <c r="AR11" s="1">
        <f>MEDIAN($R2:$R65)</f>
        <v>2.6875E-2</v>
      </c>
      <c r="AS11" s="1">
        <f>_xlfn.QUARTILE.INC($R2:$R65,3)</f>
        <v>2.9496527777777778E-2</v>
      </c>
      <c r="AT11" s="1">
        <f>MAX($R2:$R65)</f>
        <v>3.3333333333333326E-2</v>
      </c>
      <c r="AV11" s="1">
        <f>AVERAGE($AE2:$AE66)</f>
        <v>2.5128205128205135E-2</v>
      </c>
      <c r="AW11" s="1">
        <f>_xlfn.QUARTILE.INC($AE2:$AE66,0)</f>
        <v>2.0833333333333259E-2</v>
      </c>
      <c r="AX11" s="1">
        <f>_xlfn.QUARTILE.INC($AE2:$AE66,1)</f>
        <v>2.3611111111111138E-2</v>
      </c>
      <c r="AY11" s="1">
        <f>_xlfn.QUARTILE.INC($AE2:$AE66,2)</f>
        <v>2.5000000000000022E-2</v>
      </c>
      <c r="AZ11" s="1">
        <f>_xlfn.QUARTILE.INC($AE2:$AE66,3)</f>
        <v>2.6388888888888906E-2</v>
      </c>
      <c r="BA11" s="1">
        <f>_xlfn.QUARTILE.INC($AE2:$AE66,4)</f>
        <v>3.125E-2</v>
      </c>
    </row>
    <row r="12" spans="1:58" ht="17" customHeight="1">
      <c r="A12" s="8" t="s">
        <v>94</v>
      </c>
      <c r="B12" s="5" t="s">
        <v>81</v>
      </c>
      <c r="C12" s="6">
        <v>0.33888888888888891</v>
      </c>
      <c r="D12" s="6">
        <v>0.36875000000000002</v>
      </c>
      <c r="E12" s="9">
        <f t="shared" si="0"/>
        <v>2.9861111111111116E-2</v>
      </c>
      <c r="H12" s="2" t="s">
        <v>82</v>
      </c>
      <c r="I12" s="2" t="s">
        <v>81</v>
      </c>
      <c r="J12" s="3">
        <v>0.62847222222222221</v>
      </c>
      <c r="K12" s="3">
        <v>0.65625</v>
      </c>
      <c r="L12" s="1">
        <f t="shared" si="1"/>
        <v>2.777777777777779E-2</v>
      </c>
      <c r="N12" s="5" t="s">
        <v>94</v>
      </c>
      <c r="O12" s="5" t="s">
        <v>81</v>
      </c>
      <c r="P12" s="6">
        <v>0.37291666666666667</v>
      </c>
      <c r="Q12" s="6">
        <v>0.40208333333333329</v>
      </c>
      <c r="R12" s="1">
        <v>2.6249999999999999E-2</v>
      </c>
      <c r="S12" s="1">
        <v>0.42708333333333331</v>
      </c>
      <c r="T12">
        <f t="shared" si="2"/>
        <v>54</v>
      </c>
      <c r="U12">
        <f t="shared" si="3"/>
        <v>35.5</v>
      </c>
      <c r="V12">
        <f t="shared" si="4"/>
        <v>26</v>
      </c>
      <c r="W12">
        <f t="shared" si="5"/>
        <v>16.5</v>
      </c>
      <c r="X12" s="1">
        <v>3.2083333333333332E-2</v>
      </c>
      <c r="Y12" s="1">
        <v>2.6249999999999999E-2</v>
      </c>
      <c r="AA12" s="19" t="s">
        <v>82</v>
      </c>
      <c r="AB12" s="19" t="s">
        <v>83</v>
      </c>
      <c r="AC12" s="20">
        <v>0.38263888888888892</v>
      </c>
      <c r="AD12" s="20">
        <v>0.40833333333333333</v>
      </c>
      <c r="AE12" s="36">
        <f>Table59[[#This Row],[Time Arrived]]-Table59[[#This Row],[Time Left]]</f>
        <v>2.5694444444444409E-2</v>
      </c>
      <c r="AF12" s="36">
        <v>0.42708333333333331</v>
      </c>
      <c r="AG12" s="39">
        <f t="shared" si="6"/>
        <v>55</v>
      </c>
      <c r="AH12" s="39">
        <f t="shared" si="7"/>
        <v>29</v>
      </c>
      <c r="AI12">
        <f t="shared" si="8"/>
        <v>26</v>
      </c>
      <c r="AJ12">
        <f t="shared" si="9"/>
        <v>15</v>
      </c>
      <c r="AK12" s="36">
        <v>2.826388888888889E-2</v>
      </c>
      <c r="AL12" s="36">
        <v>2.3125E-2</v>
      </c>
      <c r="AM12" s="36"/>
    </row>
    <row r="13" spans="1:58" ht="17" customHeight="1">
      <c r="A13" s="8" t="s">
        <v>102</v>
      </c>
      <c r="B13" s="5" t="s">
        <v>81</v>
      </c>
      <c r="C13" s="6">
        <v>0.35208333333333341</v>
      </c>
      <c r="D13" s="6">
        <v>0.38263888888888892</v>
      </c>
      <c r="E13" s="9">
        <f t="shared" si="0"/>
        <v>3.0555555555555503E-2</v>
      </c>
      <c r="H13" s="2" t="s">
        <v>97</v>
      </c>
      <c r="I13" s="2" t="s">
        <v>81</v>
      </c>
      <c r="J13" s="3">
        <v>0.6333333333333333</v>
      </c>
      <c r="K13" s="3">
        <v>0.66111111111111109</v>
      </c>
      <c r="L13" s="1">
        <f t="shared" si="1"/>
        <v>2.777777777777779E-2</v>
      </c>
      <c r="N13" s="5" t="s">
        <v>97</v>
      </c>
      <c r="O13" s="5" t="s">
        <v>81</v>
      </c>
      <c r="P13" s="6">
        <v>0.38194444444444442</v>
      </c>
      <c r="Q13" s="6">
        <v>0.40625</v>
      </c>
      <c r="R13" s="1">
        <v>2.1874999999999999E-2</v>
      </c>
      <c r="S13" s="1">
        <v>0.42708333333333331</v>
      </c>
      <c r="T13">
        <f t="shared" si="2"/>
        <v>53</v>
      </c>
      <c r="U13">
        <f t="shared" si="3"/>
        <v>60</v>
      </c>
      <c r="V13">
        <f t="shared" si="4"/>
        <v>25</v>
      </c>
      <c r="W13">
        <f t="shared" si="5"/>
        <v>32</v>
      </c>
      <c r="X13" s="1">
        <v>2.673611111111111E-2</v>
      </c>
      <c r="Y13" s="1">
        <v>2.1874999999999999E-2</v>
      </c>
      <c r="AA13" s="5" t="s">
        <v>95</v>
      </c>
      <c r="AB13" s="5" t="s">
        <v>83</v>
      </c>
      <c r="AC13" s="6">
        <v>0.38541666666666669</v>
      </c>
      <c r="AD13" s="6">
        <v>0.41249999999999998</v>
      </c>
      <c r="AE13" s="36">
        <f>Table59[[#This Row],[Time Arrived]]-Table59[[#This Row],[Time Left]]</f>
        <v>2.7083333333333293E-2</v>
      </c>
      <c r="AF13" s="36">
        <v>0.42708333333333331</v>
      </c>
      <c r="AG13" s="39">
        <f t="shared" si="6"/>
        <v>54</v>
      </c>
      <c r="AH13" s="39">
        <f t="shared" si="7"/>
        <v>13.5</v>
      </c>
      <c r="AI13">
        <f t="shared" si="8"/>
        <v>25</v>
      </c>
      <c r="AJ13">
        <f t="shared" si="9"/>
        <v>7.5</v>
      </c>
      <c r="AK13" s="1">
        <v>2.9791666666666671E-2</v>
      </c>
      <c r="AL13" s="1">
        <v>2.4375000000000001E-2</v>
      </c>
      <c r="AM13" s="1"/>
    </row>
    <row r="14" spans="1:58" ht="17" customHeight="1">
      <c r="A14" s="8" t="s">
        <v>97</v>
      </c>
      <c r="B14" s="5" t="s">
        <v>81</v>
      </c>
      <c r="C14" s="6">
        <v>0.35208333333333341</v>
      </c>
      <c r="D14" s="6">
        <v>0.37777777777777782</v>
      </c>
      <c r="E14" s="9">
        <f t="shared" si="0"/>
        <v>2.5694444444444409E-2</v>
      </c>
      <c r="H14" s="2" t="s">
        <v>118</v>
      </c>
      <c r="I14" s="2" t="s">
        <v>81</v>
      </c>
      <c r="J14" s="3">
        <v>0.63680555555555551</v>
      </c>
      <c r="K14" s="3">
        <v>0.66388888888888886</v>
      </c>
      <c r="L14" s="1">
        <f t="shared" si="1"/>
        <v>2.7083333333333348E-2</v>
      </c>
      <c r="N14" s="19" t="s">
        <v>107</v>
      </c>
      <c r="O14" s="19" t="s">
        <v>81</v>
      </c>
      <c r="P14" s="20">
        <v>0.37777777777777782</v>
      </c>
      <c r="Q14" s="20">
        <v>0.40763888888888888</v>
      </c>
      <c r="R14" s="1">
        <v>2.6875E-2</v>
      </c>
      <c r="S14" s="1">
        <v>0.42708333333333331</v>
      </c>
      <c r="T14">
        <f t="shared" si="2"/>
        <v>52</v>
      </c>
      <c r="U14">
        <f t="shared" si="3"/>
        <v>31</v>
      </c>
      <c r="V14">
        <f t="shared" si="4"/>
        <v>24</v>
      </c>
      <c r="W14">
        <f t="shared" si="5"/>
        <v>12</v>
      </c>
      <c r="X14" s="1">
        <v>3.2847222222222222E-2</v>
      </c>
      <c r="Y14" s="1">
        <v>2.6875E-2</v>
      </c>
      <c r="AA14" s="19" t="s">
        <v>98</v>
      </c>
      <c r="AB14" s="19" t="s">
        <v>83</v>
      </c>
      <c r="AC14" s="20">
        <v>0.38750000000000001</v>
      </c>
      <c r="AD14" s="20">
        <v>0.41458333333333341</v>
      </c>
      <c r="AE14" s="36">
        <f>Table59[[#This Row],[Time Arrived]]-Table59[[#This Row],[Time Left]]</f>
        <v>2.7083333333333404E-2</v>
      </c>
      <c r="AF14" s="36">
        <v>0.42708333333333331</v>
      </c>
      <c r="AG14" s="39">
        <f t="shared" si="6"/>
        <v>53</v>
      </c>
      <c r="AH14" s="39">
        <f t="shared" si="7"/>
        <v>6.5</v>
      </c>
      <c r="AI14">
        <f t="shared" si="8"/>
        <v>24</v>
      </c>
      <c r="AJ14">
        <f t="shared" si="9"/>
        <v>4.5</v>
      </c>
      <c r="AK14" s="36">
        <v>2.9791666666666671E-2</v>
      </c>
      <c r="AL14" s="36">
        <v>2.4375000000000001E-2</v>
      </c>
      <c r="AM14" s="36"/>
    </row>
    <row r="15" spans="1:58" ht="17" customHeight="1">
      <c r="A15" s="8" t="s">
        <v>104</v>
      </c>
      <c r="B15" s="5" t="s">
        <v>81</v>
      </c>
      <c r="C15" s="6">
        <v>0.35625000000000001</v>
      </c>
      <c r="D15" s="6">
        <v>0.38611111111111113</v>
      </c>
      <c r="E15" s="9">
        <f t="shared" si="0"/>
        <v>2.9861111111111116E-2</v>
      </c>
      <c r="H15" s="2" t="s">
        <v>99</v>
      </c>
      <c r="I15" s="2" t="s">
        <v>81</v>
      </c>
      <c r="J15" s="3">
        <v>0.64236111111111116</v>
      </c>
      <c r="K15" s="3">
        <v>0.67083333333333328</v>
      </c>
      <c r="L15" s="1">
        <f t="shared" si="1"/>
        <v>2.8472222222222121E-2</v>
      </c>
      <c r="N15" s="19" t="s">
        <v>99</v>
      </c>
      <c r="O15" s="19" t="s">
        <v>81</v>
      </c>
      <c r="P15" s="20">
        <v>0.38819444444444451</v>
      </c>
      <c r="Q15" s="20">
        <v>0.41388888888888892</v>
      </c>
      <c r="R15" s="1">
        <v>2.3125E-2</v>
      </c>
      <c r="S15" s="1">
        <v>0.42708333333333331</v>
      </c>
      <c r="T15">
        <f t="shared" si="2"/>
        <v>51</v>
      </c>
      <c r="U15">
        <f t="shared" si="3"/>
        <v>55.5</v>
      </c>
      <c r="V15">
        <f t="shared" si="4"/>
        <v>23</v>
      </c>
      <c r="W15">
        <f t="shared" si="5"/>
        <v>28.5</v>
      </c>
      <c r="X15" s="1">
        <v>2.826388888888889E-2</v>
      </c>
      <c r="Y15" s="1">
        <v>2.3125E-2</v>
      </c>
      <c r="AA15" s="5" t="s">
        <v>100</v>
      </c>
      <c r="AB15" s="5" t="s">
        <v>83</v>
      </c>
      <c r="AC15" s="6">
        <v>0.39305555555555549</v>
      </c>
      <c r="AD15" s="6">
        <v>0.41666666666666669</v>
      </c>
      <c r="AE15" s="36">
        <f>Table59[[#This Row],[Time Arrived]]-Table59[[#This Row],[Time Left]]</f>
        <v>2.3611111111111194E-2</v>
      </c>
      <c r="AF15" s="36">
        <v>0.42708333333333331</v>
      </c>
      <c r="AG15" s="39">
        <f t="shared" si="6"/>
        <v>52</v>
      </c>
      <c r="AH15" s="39">
        <f t="shared" si="7"/>
        <v>45</v>
      </c>
      <c r="AI15">
        <f t="shared" si="8"/>
        <v>23</v>
      </c>
      <c r="AJ15">
        <f t="shared" si="9"/>
        <v>26</v>
      </c>
      <c r="AK15" s="1">
        <v>2.5972222222222219E-2</v>
      </c>
      <c r="AL15" s="1">
        <v>2.1250000000000002E-2</v>
      </c>
      <c r="AM15" s="1"/>
    </row>
    <row r="16" spans="1:58" ht="17" customHeight="1">
      <c r="A16" s="8" t="s">
        <v>99</v>
      </c>
      <c r="B16" s="5" t="s">
        <v>81</v>
      </c>
      <c r="C16" s="6">
        <v>0.35902777777777778</v>
      </c>
      <c r="D16" s="6">
        <v>0.38124999999999998</v>
      </c>
      <c r="E16" s="9">
        <f t="shared" si="0"/>
        <v>2.2222222222222199E-2</v>
      </c>
      <c r="H16" s="2" t="s">
        <v>119</v>
      </c>
      <c r="I16" s="2" t="s">
        <v>81</v>
      </c>
      <c r="J16" s="3">
        <v>0.63680555555555551</v>
      </c>
      <c r="K16" s="4"/>
      <c r="L16" s="1">
        <f t="shared" si="1"/>
        <v>-0.63680555555555551</v>
      </c>
      <c r="N16" s="5" t="s">
        <v>102</v>
      </c>
      <c r="O16" s="5" t="s">
        <v>81</v>
      </c>
      <c r="P16" s="6">
        <v>0.38750000000000001</v>
      </c>
      <c r="Q16" s="6">
        <v>0.41666666666666669</v>
      </c>
      <c r="R16" s="1">
        <v>2.6249999999999999E-2</v>
      </c>
      <c r="S16" s="1">
        <v>0.42708333333333331</v>
      </c>
      <c r="T16">
        <f t="shared" si="2"/>
        <v>50</v>
      </c>
      <c r="U16">
        <f t="shared" si="3"/>
        <v>35.5</v>
      </c>
      <c r="V16">
        <f t="shared" si="4"/>
        <v>22</v>
      </c>
      <c r="W16">
        <f t="shared" si="5"/>
        <v>16.5</v>
      </c>
      <c r="X16" s="1">
        <v>3.2083333333333332E-2</v>
      </c>
      <c r="Y16" s="1">
        <v>2.6249999999999999E-2</v>
      </c>
      <c r="AA16" s="5" t="s">
        <v>105</v>
      </c>
      <c r="AB16" s="5" t="s">
        <v>83</v>
      </c>
      <c r="AC16" s="6">
        <v>0.39166666666666672</v>
      </c>
      <c r="AD16" s="6">
        <v>0.41875000000000001</v>
      </c>
      <c r="AE16" s="36">
        <f>Table59[[#This Row],[Time Arrived]]-Table59[[#This Row],[Time Left]]</f>
        <v>2.7083333333333293E-2</v>
      </c>
      <c r="AF16" s="36">
        <v>0.42708333333333331</v>
      </c>
      <c r="AG16" s="39">
        <f t="shared" si="6"/>
        <v>51</v>
      </c>
      <c r="AH16" s="39">
        <f t="shared" si="7"/>
        <v>13.5</v>
      </c>
      <c r="AI16">
        <f t="shared" si="8"/>
        <v>22</v>
      </c>
      <c r="AJ16">
        <f t="shared" si="9"/>
        <v>7.5</v>
      </c>
      <c r="AK16" s="1">
        <v>2.9791666666666671E-2</v>
      </c>
      <c r="AL16" s="1">
        <v>2.4375000000000001E-2</v>
      </c>
      <c r="AM16" s="1"/>
      <c r="BE16" t="s">
        <v>144</v>
      </c>
      <c r="BF16">
        <v>1.56</v>
      </c>
    </row>
    <row r="17" spans="1:59" ht="17" customHeight="1">
      <c r="A17" s="8" t="s">
        <v>110</v>
      </c>
      <c r="B17" s="5" t="s">
        <v>81</v>
      </c>
      <c r="C17" s="6">
        <v>0.36249999999999999</v>
      </c>
      <c r="D17" s="6">
        <v>0.3923611111111111</v>
      </c>
      <c r="E17" s="9">
        <f t="shared" si="0"/>
        <v>2.9861111111111116E-2</v>
      </c>
      <c r="H17" s="2" t="s">
        <v>107</v>
      </c>
      <c r="I17" s="2" t="s">
        <v>81</v>
      </c>
      <c r="J17" s="3">
        <v>0.6479166666666667</v>
      </c>
      <c r="K17" s="3">
        <v>0.67708333333333337</v>
      </c>
      <c r="L17" s="1">
        <f t="shared" si="1"/>
        <v>2.9166666666666674E-2</v>
      </c>
      <c r="N17" s="5" t="s">
        <v>108</v>
      </c>
      <c r="O17" s="5" t="s">
        <v>81</v>
      </c>
      <c r="P17" s="6">
        <v>0.39374999999999999</v>
      </c>
      <c r="Q17" s="6">
        <v>0.41875000000000001</v>
      </c>
      <c r="R17" s="1">
        <v>2.2499999999999999E-2</v>
      </c>
      <c r="S17" s="1">
        <v>0.42708333333333331</v>
      </c>
      <c r="T17">
        <f t="shared" si="2"/>
        <v>49</v>
      </c>
      <c r="U17">
        <f t="shared" si="3"/>
        <v>57.5</v>
      </c>
      <c r="V17">
        <f t="shared" si="4"/>
        <v>21</v>
      </c>
      <c r="W17">
        <f t="shared" si="5"/>
        <v>30</v>
      </c>
      <c r="X17" s="1">
        <v>2.75E-2</v>
      </c>
      <c r="Y17" s="1">
        <v>2.2499999999999999E-2</v>
      </c>
      <c r="AA17" s="19" t="s">
        <v>103</v>
      </c>
      <c r="AB17" s="19" t="s">
        <v>83</v>
      </c>
      <c r="AC17" s="20">
        <v>0.39652777777777781</v>
      </c>
      <c r="AD17" s="20">
        <v>0.42152777777777778</v>
      </c>
      <c r="AE17" s="36">
        <f>Table59[[#This Row],[Time Arrived]]-Table59[[#This Row],[Time Left]]</f>
        <v>2.4999999999999967E-2</v>
      </c>
      <c r="AF17" s="37">
        <v>0.42708333333333331</v>
      </c>
      <c r="AG17" s="40">
        <f t="shared" si="6"/>
        <v>50</v>
      </c>
      <c r="AH17" s="40">
        <f t="shared" si="7"/>
        <v>37.5</v>
      </c>
      <c r="AI17">
        <f t="shared" si="8"/>
        <v>21</v>
      </c>
      <c r="AJ17">
        <f t="shared" si="9"/>
        <v>22.5</v>
      </c>
      <c r="AK17" s="36">
        <v>2.75E-2</v>
      </c>
      <c r="AL17" s="36">
        <v>2.2499999999999999E-2</v>
      </c>
      <c r="AM17" s="36"/>
      <c r="BF17" t="s">
        <v>77</v>
      </c>
      <c r="BG17" t="s">
        <v>83</v>
      </c>
    </row>
    <row r="18" spans="1:59" ht="17" customHeight="1">
      <c r="A18" s="8" t="s">
        <v>115</v>
      </c>
      <c r="B18" s="5" t="s">
        <v>81</v>
      </c>
      <c r="C18" s="6">
        <v>0.36944444444444452</v>
      </c>
      <c r="D18" s="6">
        <v>0.39861111111111108</v>
      </c>
      <c r="E18" s="9">
        <f t="shared" si="0"/>
        <v>2.9166666666666563E-2</v>
      </c>
      <c r="H18" s="2" t="s">
        <v>108</v>
      </c>
      <c r="I18" s="2" t="s">
        <v>81</v>
      </c>
      <c r="J18" s="3">
        <v>0.65416666666666667</v>
      </c>
      <c r="K18" s="3">
        <v>0.68263888888888891</v>
      </c>
      <c r="L18" s="1">
        <f t="shared" si="1"/>
        <v>2.8472222222222232E-2</v>
      </c>
      <c r="N18" s="5" t="s">
        <v>113</v>
      </c>
      <c r="O18" s="5" t="s">
        <v>81</v>
      </c>
      <c r="P18" s="6">
        <v>0.39861111111111108</v>
      </c>
      <c r="Q18" s="6">
        <v>0.4284722222222222</v>
      </c>
      <c r="R18" s="1">
        <v>2.6875E-2</v>
      </c>
      <c r="S18" s="1">
        <v>0.46875</v>
      </c>
      <c r="T18">
        <f t="shared" si="2"/>
        <v>48</v>
      </c>
      <c r="U18">
        <f t="shared" si="3"/>
        <v>31</v>
      </c>
      <c r="V18">
        <f t="shared" si="4"/>
        <v>20</v>
      </c>
      <c r="W18">
        <f t="shared" si="5"/>
        <v>12</v>
      </c>
      <c r="X18" s="1">
        <v>3.2847222222222222E-2</v>
      </c>
      <c r="Y18" s="1">
        <v>2.6875E-2</v>
      </c>
      <c r="AA18" s="19" t="s">
        <v>109</v>
      </c>
      <c r="AB18" s="19" t="s">
        <v>83</v>
      </c>
      <c r="AC18" s="20">
        <v>0.4</v>
      </c>
      <c r="AD18" s="20">
        <v>0.42222222222222222</v>
      </c>
      <c r="AE18" s="36">
        <f>Table59[[#This Row],[Time Arrived]]-Table59[[#This Row],[Time Left]]</f>
        <v>2.2222222222222199E-2</v>
      </c>
      <c r="AF18" s="37">
        <v>0.42708333333333331</v>
      </c>
      <c r="AG18" s="40">
        <f t="shared" si="6"/>
        <v>49</v>
      </c>
      <c r="AH18" s="40">
        <f t="shared" si="7"/>
        <v>59</v>
      </c>
      <c r="AI18">
        <f t="shared" si="8"/>
        <v>20</v>
      </c>
      <c r="AJ18">
        <f t="shared" si="9"/>
        <v>33</v>
      </c>
      <c r="AK18" s="36">
        <v>2.4444444444444449E-2</v>
      </c>
      <c r="AL18" s="36">
        <v>0.02</v>
      </c>
      <c r="AM18" s="36"/>
      <c r="BE18" s="1">
        <v>0.38541666666666669</v>
      </c>
      <c r="BF18">
        <f>AR3*BF16</f>
        <v>4.5500000000000103E-2</v>
      </c>
    </row>
    <row r="19" spans="1:59" ht="17" customHeight="1">
      <c r="A19" s="8" t="s">
        <v>108</v>
      </c>
      <c r="B19" s="5" t="s">
        <v>81</v>
      </c>
      <c r="C19" s="6">
        <v>0.36805555555555558</v>
      </c>
      <c r="D19" s="6">
        <v>0.39027777777777778</v>
      </c>
      <c r="E19" s="9">
        <f t="shared" si="0"/>
        <v>2.2222222222222199E-2</v>
      </c>
      <c r="H19" s="2" t="s">
        <v>113</v>
      </c>
      <c r="I19" s="2" t="s">
        <v>81</v>
      </c>
      <c r="J19" s="3">
        <v>0.65763888888888888</v>
      </c>
      <c r="K19" s="3">
        <v>0.68888888888888888</v>
      </c>
      <c r="L19" s="1">
        <f t="shared" si="1"/>
        <v>3.125E-2</v>
      </c>
      <c r="N19" s="19" t="s">
        <v>110</v>
      </c>
      <c r="O19" s="19" t="s">
        <v>81</v>
      </c>
      <c r="P19" s="20">
        <v>0.39930555555555558</v>
      </c>
      <c r="Q19" s="20">
        <v>0.42986111111111108</v>
      </c>
      <c r="R19" s="1">
        <v>2.75E-2</v>
      </c>
      <c r="S19" s="1">
        <v>0.46875</v>
      </c>
      <c r="T19">
        <f t="shared" si="2"/>
        <v>47</v>
      </c>
      <c r="U19">
        <f t="shared" si="3"/>
        <v>26.5</v>
      </c>
      <c r="V19">
        <f t="shared" si="4"/>
        <v>19</v>
      </c>
      <c r="W19">
        <f t="shared" si="5"/>
        <v>7.5</v>
      </c>
      <c r="X19" s="1">
        <v>3.3611111111111112E-2</v>
      </c>
      <c r="Y19" s="1">
        <v>2.75E-2</v>
      </c>
      <c r="AA19" s="5" t="s">
        <v>111</v>
      </c>
      <c r="AB19" s="5" t="s">
        <v>83</v>
      </c>
      <c r="AC19" s="6">
        <v>0.40486111111111112</v>
      </c>
      <c r="AD19" s="6">
        <v>0.4284722222222222</v>
      </c>
      <c r="AE19" s="36">
        <f>Table59[[#This Row],[Time Arrived]]-Table59[[#This Row],[Time Left]]</f>
        <v>2.3611111111111083E-2</v>
      </c>
      <c r="AF19" s="1">
        <v>0.46875</v>
      </c>
      <c r="AG19">
        <f t="shared" si="6"/>
        <v>48</v>
      </c>
      <c r="AH19">
        <f t="shared" si="7"/>
        <v>49</v>
      </c>
      <c r="AI19">
        <f t="shared" si="8"/>
        <v>19</v>
      </c>
      <c r="AJ19">
        <f t="shared" si="9"/>
        <v>27</v>
      </c>
      <c r="AK19" s="1">
        <v>2.5972222222222219E-2</v>
      </c>
      <c r="AL19" s="1">
        <v>2.1250000000000002E-2</v>
      </c>
      <c r="AM19" s="1"/>
      <c r="BE19" s="1">
        <v>0.42708333333333331</v>
      </c>
    </row>
    <row r="20" spans="1:59" ht="17" customHeight="1">
      <c r="A20" s="8" t="s">
        <v>113</v>
      </c>
      <c r="B20" s="5" t="s">
        <v>81</v>
      </c>
      <c r="C20" s="6">
        <v>0.37013888888888891</v>
      </c>
      <c r="D20" s="6">
        <v>0.39583333333333331</v>
      </c>
      <c r="E20" s="9">
        <f t="shared" si="0"/>
        <v>2.5694444444444409E-2</v>
      </c>
      <c r="H20" s="2" t="s">
        <v>82</v>
      </c>
      <c r="I20" s="2" t="s">
        <v>81</v>
      </c>
      <c r="J20" s="3">
        <v>0.66736111111111107</v>
      </c>
      <c r="K20" s="3">
        <v>0.6958333333333333</v>
      </c>
      <c r="L20" s="1">
        <f t="shared" si="1"/>
        <v>2.8472222222222232E-2</v>
      </c>
      <c r="N20" s="19" t="s">
        <v>97</v>
      </c>
      <c r="O20" s="19" t="s">
        <v>81</v>
      </c>
      <c r="P20" s="20">
        <v>0.40277777777777779</v>
      </c>
      <c r="Q20" s="20">
        <v>0.43333333333333329</v>
      </c>
      <c r="R20" s="1">
        <v>2.75E-2</v>
      </c>
      <c r="S20" s="1">
        <v>0.46875</v>
      </c>
      <c r="T20">
        <f t="shared" si="2"/>
        <v>46</v>
      </c>
      <c r="U20">
        <f t="shared" si="3"/>
        <v>26.5</v>
      </c>
      <c r="V20">
        <f t="shared" si="4"/>
        <v>18</v>
      </c>
      <c r="W20">
        <f t="shared" si="5"/>
        <v>7.5</v>
      </c>
      <c r="X20" s="1">
        <v>3.3611111111111112E-2</v>
      </c>
      <c r="Y20" s="1">
        <v>2.75E-2</v>
      </c>
      <c r="AA20" s="19" t="s">
        <v>114</v>
      </c>
      <c r="AB20" s="19" t="s">
        <v>83</v>
      </c>
      <c r="AC20" s="20">
        <v>0.40902777777777782</v>
      </c>
      <c r="AD20" s="20">
        <v>0.43402777777777779</v>
      </c>
      <c r="AE20" s="36">
        <f>Table59[[#This Row],[Time Arrived]]-Table59[[#This Row],[Time Left]]</f>
        <v>2.4999999999999967E-2</v>
      </c>
      <c r="AF20" s="1">
        <v>0.46875</v>
      </c>
      <c r="AG20">
        <f t="shared" si="6"/>
        <v>47</v>
      </c>
      <c r="AH20">
        <f t="shared" si="7"/>
        <v>37.5</v>
      </c>
      <c r="AI20">
        <f t="shared" si="8"/>
        <v>18</v>
      </c>
      <c r="AJ20">
        <f t="shared" si="9"/>
        <v>22.5</v>
      </c>
      <c r="AK20" s="36">
        <v>2.75E-2</v>
      </c>
      <c r="AL20" s="36">
        <v>2.2499999999999999E-2</v>
      </c>
      <c r="AM20" s="36"/>
      <c r="BE20" s="1">
        <v>0.46875</v>
      </c>
    </row>
    <row r="21" spans="1:59" ht="17" customHeight="1">
      <c r="A21" s="8" t="s">
        <v>94</v>
      </c>
      <c r="B21" s="5" t="s">
        <v>81</v>
      </c>
      <c r="C21" s="6">
        <v>0.37291666666666667</v>
      </c>
      <c r="D21" s="6">
        <v>0.40208333333333329</v>
      </c>
      <c r="E21" s="9">
        <f t="shared" si="0"/>
        <v>2.9166666666666619E-2</v>
      </c>
      <c r="H21" s="2" t="s">
        <v>104</v>
      </c>
      <c r="I21" s="2" t="s">
        <v>81</v>
      </c>
      <c r="J21" s="3">
        <v>0.66041666666666665</v>
      </c>
      <c r="K21" s="3">
        <v>0.69374999999999998</v>
      </c>
      <c r="L21" s="1">
        <f t="shared" si="1"/>
        <v>3.3333333333333326E-2</v>
      </c>
      <c r="N21" s="5" t="s">
        <v>94</v>
      </c>
      <c r="O21" s="5" t="s">
        <v>81</v>
      </c>
      <c r="P21" s="6">
        <v>0.40625</v>
      </c>
      <c r="Q21" s="6">
        <v>0.43402777777777779</v>
      </c>
      <c r="R21" s="1">
        <v>2.5000000000000001E-2</v>
      </c>
      <c r="S21" s="1">
        <v>0.46875</v>
      </c>
      <c r="T21">
        <f t="shared" si="2"/>
        <v>45</v>
      </c>
      <c r="U21">
        <f t="shared" si="3"/>
        <v>47.5</v>
      </c>
      <c r="V21">
        <f t="shared" si="4"/>
        <v>17</v>
      </c>
      <c r="W21">
        <f t="shared" si="5"/>
        <v>24.5</v>
      </c>
      <c r="X21" s="1">
        <v>3.0555555555555551E-2</v>
      </c>
      <c r="Y21" s="1">
        <v>2.5000000000000001E-2</v>
      </c>
      <c r="AA21" s="5" t="s">
        <v>116</v>
      </c>
      <c r="AB21" s="5" t="s">
        <v>83</v>
      </c>
      <c r="AC21" s="6">
        <v>0.41388888888888892</v>
      </c>
      <c r="AD21" s="6">
        <v>0.43888888888888888</v>
      </c>
      <c r="AE21" s="36">
        <f>Table59[[#This Row],[Time Arrived]]-Table59[[#This Row],[Time Left]]</f>
        <v>2.4999999999999967E-2</v>
      </c>
      <c r="AF21" s="1">
        <v>0.46875</v>
      </c>
      <c r="AG21">
        <f t="shared" si="6"/>
        <v>46</v>
      </c>
      <c r="AH21">
        <f t="shared" si="7"/>
        <v>37.5</v>
      </c>
      <c r="AI21">
        <f t="shared" si="8"/>
        <v>17</v>
      </c>
      <c r="AJ21">
        <f t="shared" si="9"/>
        <v>22.5</v>
      </c>
      <c r="AK21" s="1">
        <v>2.75E-2</v>
      </c>
      <c r="AL21" s="1">
        <v>2.2499999999999999E-2</v>
      </c>
      <c r="AM21" s="1"/>
      <c r="BE21" s="1">
        <v>0.51041666666666663</v>
      </c>
    </row>
    <row r="22" spans="1:59" ht="17" customHeight="1">
      <c r="A22" s="8" t="s">
        <v>107</v>
      </c>
      <c r="B22" s="5" t="s">
        <v>81</v>
      </c>
      <c r="C22" s="6">
        <v>0.37777777777777782</v>
      </c>
      <c r="D22" s="6">
        <v>0.40763888888888888</v>
      </c>
      <c r="E22" s="9">
        <f t="shared" si="0"/>
        <v>2.9861111111111061E-2</v>
      </c>
      <c r="H22" s="2" t="s">
        <v>97</v>
      </c>
      <c r="I22" s="2" t="s">
        <v>81</v>
      </c>
      <c r="J22" s="3">
        <v>0.67152777777777772</v>
      </c>
      <c r="K22" s="3">
        <v>0.70277777777777772</v>
      </c>
      <c r="L22" s="1">
        <f t="shared" si="1"/>
        <v>3.125E-2</v>
      </c>
      <c r="N22" s="19" t="s">
        <v>115</v>
      </c>
      <c r="O22" s="19" t="s">
        <v>81</v>
      </c>
      <c r="P22" s="20">
        <v>0.40138888888888891</v>
      </c>
      <c r="Q22" s="20">
        <v>0.43611111111111112</v>
      </c>
      <c r="R22" s="1">
        <v>3.125E-2</v>
      </c>
      <c r="S22" s="1">
        <v>0.46875</v>
      </c>
      <c r="T22">
        <f t="shared" si="2"/>
        <v>44</v>
      </c>
      <c r="U22">
        <f t="shared" si="3"/>
        <v>8.5</v>
      </c>
      <c r="V22">
        <f t="shared" si="4"/>
        <v>16</v>
      </c>
      <c r="W22">
        <f t="shared" si="5"/>
        <v>1</v>
      </c>
      <c r="X22" s="1">
        <v>3.8194444444444448E-2</v>
      </c>
      <c r="Y22" s="1">
        <v>3.125E-2</v>
      </c>
      <c r="AA22" s="19" t="s">
        <v>98</v>
      </c>
      <c r="AB22" s="19" t="s">
        <v>83</v>
      </c>
      <c r="AC22" s="20">
        <v>0.41875000000000001</v>
      </c>
      <c r="AD22" s="20">
        <v>0.44444444444444442</v>
      </c>
      <c r="AE22" s="36">
        <f>Table59[[#This Row],[Time Arrived]]-Table59[[#This Row],[Time Left]]</f>
        <v>2.5694444444444409E-2</v>
      </c>
      <c r="AF22" s="1">
        <v>0.46875</v>
      </c>
      <c r="AG22">
        <f t="shared" si="6"/>
        <v>45</v>
      </c>
      <c r="AH22">
        <f t="shared" si="7"/>
        <v>29</v>
      </c>
      <c r="AI22">
        <f t="shared" si="8"/>
        <v>16</v>
      </c>
      <c r="AJ22">
        <f t="shared" si="9"/>
        <v>15</v>
      </c>
      <c r="AK22" s="36">
        <v>2.826388888888889E-2</v>
      </c>
      <c r="AL22" s="36">
        <v>2.3125E-2</v>
      </c>
      <c r="AM22" s="36"/>
      <c r="BE22" s="1">
        <v>0.63541666666666663</v>
      </c>
    </row>
    <row r="23" spans="1:59" ht="17" customHeight="1">
      <c r="A23" s="8" t="s">
        <v>97</v>
      </c>
      <c r="B23" s="5" t="s">
        <v>81</v>
      </c>
      <c r="C23" s="6">
        <v>0.38194444444444442</v>
      </c>
      <c r="D23" s="6">
        <v>0.40625</v>
      </c>
      <c r="E23" s="9">
        <f t="shared" si="0"/>
        <v>2.430555555555558E-2</v>
      </c>
      <c r="H23" s="2" t="s">
        <v>94</v>
      </c>
      <c r="I23" s="2" t="s">
        <v>81</v>
      </c>
      <c r="J23" s="3">
        <v>0.67708333333333337</v>
      </c>
      <c r="K23" s="3">
        <v>0.70625000000000004</v>
      </c>
      <c r="L23" s="1">
        <f t="shared" si="1"/>
        <v>2.9166666666666674E-2</v>
      </c>
      <c r="N23" s="5" t="s">
        <v>99</v>
      </c>
      <c r="O23" s="5" t="s">
        <v>81</v>
      </c>
      <c r="P23" s="6">
        <v>0.41666666666666669</v>
      </c>
      <c r="Q23" s="6">
        <v>0.43888888888888888</v>
      </c>
      <c r="R23" s="1">
        <v>0.02</v>
      </c>
      <c r="S23" s="1">
        <v>0.46875</v>
      </c>
      <c r="T23">
        <f t="shared" si="2"/>
        <v>43</v>
      </c>
      <c r="U23">
        <f t="shared" si="3"/>
        <v>62</v>
      </c>
      <c r="V23">
        <f t="shared" si="4"/>
        <v>15</v>
      </c>
      <c r="W23">
        <f t="shared" si="5"/>
        <v>34</v>
      </c>
      <c r="X23" s="1">
        <v>2.4444444444444449E-2</v>
      </c>
      <c r="Y23" s="1">
        <v>0.02</v>
      </c>
      <c r="AA23" s="19" t="s">
        <v>105</v>
      </c>
      <c r="AB23" s="19" t="s">
        <v>83</v>
      </c>
      <c r="AC23" s="20">
        <v>0.42430555555555549</v>
      </c>
      <c r="AD23" s="20">
        <v>0.44722222222222219</v>
      </c>
      <c r="AE23" s="36">
        <f>Table59[[#This Row],[Time Arrived]]-Table59[[#This Row],[Time Left]]</f>
        <v>2.2916666666666696E-2</v>
      </c>
      <c r="AF23" s="1">
        <v>0.46875</v>
      </c>
      <c r="AG23">
        <f t="shared" si="6"/>
        <v>44</v>
      </c>
      <c r="AH23">
        <f t="shared" si="7"/>
        <v>52.5</v>
      </c>
      <c r="AI23">
        <f t="shared" si="8"/>
        <v>15</v>
      </c>
      <c r="AJ23">
        <f t="shared" si="9"/>
        <v>29.5</v>
      </c>
      <c r="AK23" s="36">
        <v>2.5208333333333329E-2</v>
      </c>
      <c r="AL23" s="36">
        <v>2.0625000000000001E-2</v>
      </c>
      <c r="AM23" s="36"/>
      <c r="BE23" s="1">
        <v>0.67708333333333337</v>
      </c>
    </row>
    <row r="24" spans="1:59" ht="17" customHeight="1">
      <c r="A24" s="8" t="s">
        <v>99</v>
      </c>
      <c r="B24" s="5" t="s">
        <v>81</v>
      </c>
      <c r="C24" s="6">
        <v>0.38819444444444451</v>
      </c>
      <c r="D24" s="6">
        <v>0.41388888888888892</v>
      </c>
      <c r="E24" s="9">
        <f t="shared" si="0"/>
        <v>2.5694444444444409E-2</v>
      </c>
      <c r="H24" s="2" t="s">
        <v>99</v>
      </c>
      <c r="I24" s="2" t="s">
        <v>81</v>
      </c>
      <c r="J24" s="3">
        <v>0.68125000000000002</v>
      </c>
      <c r="K24" s="3">
        <v>0.71388888888888891</v>
      </c>
      <c r="L24" s="1">
        <f t="shared" si="1"/>
        <v>3.2638888888888884E-2</v>
      </c>
      <c r="N24" s="5" t="s">
        <v>107</v>
      </c>
      <c r="O24" s="5" t="s">
        <v>81</v>
      </c>
      <c r="P24" s="6">
        <v>0.41249999999999998</v>
      </c>
      <c r="Q24" s="6">
        <v>0.44097222222222221</v>
      </c>
      <c r="R24" s="1">
        <v>2.5624999999999998E-2</v>
      </c>
      <c r="S24" s="1">
        <v>0.46875</v>
      </c>
      <c r="T24">
        <f t="shared" si="2"/>
        <v>42</v>
      </c>
      <c r="U24">
        <f t="shared" si="3"/>
        <v>41.5</v>
      </c>
      <c r="V24">
        <f t="shared" si="4"/>
        <v>14</v>
      </c>
      <c r="W24">
        <f t="shared" si="5"/>
        <v>21.5</v>
      </c>
      <c r="X24" s="1">
        <v>3.1319444444444441E-2</v>
      </c>
      <c r="Y24" s="1">
        <v>2.5624999999999998E-2</v>
      </c>
      <c r="AA24" s="5" t="s">
        <v>103</v>
      </c>
      <c r="AB24" s="5" t="s">
        <v>83</v>
      </c>
      <c r="AC24" s="6">
        <v>0.42916666666666659</v>
      </c>
      <c r="AD24" s="6">
        <v>0.45</v>
      </c>
      <c r="AE24" s="36">
        <f>Table59[[#This Row],[Time Arrived]]-Table59[[#This Row],[Time Left]]</f>
        <v>2.0833333333333426E-2</v>
      </c>
      <c r="AF24" s="1">
        <v>0.46875</v>
      </c>
      <c r="AG24">
        <f t="shared" si="6"/>
        <v>43</v>
      </c>
      <c r="AH24">
        <f t="shared" si="7"/>
        <v>63</v>
      </c>
      <c r="AI24">
        <f t="shared" si="8"/>
        <v>14</v>
      </c>
      <c r="AJ24">
        <f t="shared" si="9"/>
        <v>36</v>
      </c>
      <c r="AK24" s="1">
        <v>2.2916666666666669E-2</v>
      </c>
      <c r="AL24" s="1">
        <v>1.8749999999999999E-2</v>
      </c>
      <c r="AM24" s="1"/>
      <c r="BE24" s="1">
        <v>0.71875</v>
      </c>
    </row>
    <row r="25" spans="1:59" ht="17" customHeight="1">
      <c r="A25" s="8" t="s">
        <v>102</v>
      </c>
      <c r="B25" s="5" t="s">
        <v>81</v>
      </c>
      <c r="C25" s="6">
        <v>0.38750000000000001</v>
      </c>
      <c r="D25" s="6">
        <v>0.41666666666666669</v>
      </c>
      <c r="E25" s="9">
        <f t="shared" si="0"/>
        <v>2.9166666666666674E-2</v>
      </c>
      <c r="H25" s="2" t="s">
        <v>107</v>
      </c>
      <c r="I25" s="2" t="s">
        <v>81</v>
      </c>
      <c r="J25" s="3">
        <v>0.68680555555555556</v>
      </c>
      <c r="K25" s="3">
        <v>0.71666666666666667</v>
      </c>
      <c r="L25" s="1">
        <f t="shared" si="1"/>
        <v>2.9861111111111116E-2</v>
      </c>
      <c r="N25" s="5" t="s">
        <v>108</v>
      </c>
      <c r="O25" s="5" t="s">
        <v>81</v>
      </c>
      <c r="P25" s="6">
        <v>0.41736111111111113</v>
      </c>
      <c r="Q25" s="6">
        <v>0.44513888888888892</v>
      </c>
      <c r="R25" s="1">
        <v>2.5000000000000001E-2</v>
      </c>
      <c r="S25" s="1">
        <v>0.46875</v>
      </c>
      <c r="T25">
        <f t="shared" si="2"/>
        <v>41</v>
      </c>
      <c r="U25">
        <f t="shared" si="3"/>
        <v>47.5</v>
      </c>
      <c r="V25">
        <f t="shared" si="4"/>
        <v>13</v>
      </c>
      <c r="W25">
        <f t="shared" si="5"/>
        <v>24.5</v>
      </c>
      <c r="X25" s="1">
        <v>3.0555555555555551E-2</v>
      </c>
      <c r="Y25" s="1">
        <v>2.5000000000000001E-2</v>
      </c>
      <c r="AA25" s="19" t="s">
        <v>109</v>
      </c>
      <c r="AB25" s="19" t="s">
        <v>83</v>
      </c>
      <c r="AC25" s="20">
        <v>0.43263888888888891</v>
      </c>
      <c r="AD25" s="20">
        <v>0.45763888888888887</v>
      </c>
      <c r="AE25" s="36">
        <f>Table59[[#This Row],[Time Arrived]]-Table59[[#This Row],[Time Left]]</f>
        <v>2.4999999999999967E-2</v>
      </c>
      <c r="AF25" s="1">
        <v>0.46875</v>
      </c>
      <c r="AG25">
        <f t="shared" si="6"/>
        <v>42</v>
      </c>
      <c r="AH25">
        <f t="shared" si="7"/>
        <v>37.5</v>
      </c>
      <c r="AI25">
        <f t="shared" si="8"/>
        <v>13</v>
      </c>
      <c r="AJ25">
        <f t="shared" si="9"/>
        <v>22.5</v>
      </c>
      <c r="AK25" s="36">
        <v>2.75E-2</v>
      </c>
      <c r="AL25" s="36">
        <v>2.2499999999999999E-2</v>
      </c>
      <c r="AM25" s="36"/>
      <c r="BE25" s="1">
        <v>0.76041666666666663</v>
      </c>
    </row>
    <row r="26" spans="1:59" ht="17" customHeight="1">
      <c r="A26" s="8" t="s">
        <v>104</v>
      </c>
      <c r="B26" s="5" t="s">
        <v>81</v>
      </c>
      <c r="C26" s="6">
        <v>0.3923611111111111</v>
      </c>
      <c r="D26" s="7"/>
      <c r="E26" s="9">
        <f t="shared" si="0"/>
        <v>-0.3923611111111111</v>
      </c>
      <c r="H26" s="2" t="s">
        <v>120</v>
      </c>
      <c r="I26" s="2" t="s">
        <v>81</v>
      </c>
      <c r="J26" s="3">
        <v>0.69236111111111109</v>
      </c>
      <c r="K26" s="3">
        <v>0.72499999999999998</v>
      </c>
      <c r="L26" s="1">
        <f t="shared" si="1"/>
        <v>3.2638888888888884E-2</v>
      </c>
      <c r="N26" s="19" t="s">
        <v>102</v>
      </c>
      <c r="O26" s="19" t="s">
        <v>81</v>
      </c>
      <c r="P26" s="20">
        <v>0.42083333333333328</v>
      </c>
      <c r="Q26" s="20">
        <v>0.4513888888888889</v>
      </c>
      <c r="R26" s="1">
        <v>2.75E-2</v>
      </c>
      <c r="S26" s="1">
        <v>0.46875</v>
      </c>
      <c r="T26">
        <f t="shared" si="2"/>
        <v>40</v>
      </c>
      <c r="U26">
        <f t="shared" si="3"/>
        <v>26.5</v>
      </c>
      <c r="V26">
        <f t="shared" si="4"/>
        <v>12</v>
      </c>
      <c r="W26">
        <f t="shared" si="5"/>
        <v>7.5</v>
      </c>
      <c r="X26" s="1">
        <v>3.3611111111111112E-2</v>
      </c>
      <c r="Y26" s="1">
        <v>2.75E-2</v>
      </c>
      <c r="AA26" s="5" t="s">
        <v>111</v>
      </c>
      <c r="AB26" s="5" t="s">
        <v>83</v>
      </c>
      <c r="AC26" s="6">
        <v>0.43888888888888888</v>
      </c>
      <c r="AD26" s="6">
        <v>0.46180555555555558</v>
      </c>
      <c r="AE26" s="36">
        <f>Table59[[#This Row],[Time Arrived]]-Table59[[#This Row],[Time Left]]</f>
        <v>2.2916666666666696E-2</v>
      </c>
      <c r="AF26" s="1">
        <v>0.46875</v>
      </c>
      <c r="AG26">
        <f t="shared" si="6"/>
        <v>41</v>
      </c>
      <c r="AH26">
        <f t="shared" si="7"/>
        <v>52.5</v>
      </c>
      <c r="AI26">
        <f t="shared" si="8"/>
        <v>12</v>
      </c>
      <c r="AJ26">
        <f t="shared" si="9"/>
        <v>29.5</v>
      </c>
      <c r="AK26" s="1">
        <v>2.5208333333333329E-2</v>
      </c>
      <c r="AL26" s="1">
        <v>2.0625000000000001E-2</v>
      </c>
      <c r="AM26" s="1"/>
    </row>
    <row r="27" spans="1:59" ht="17" customHeight="1">
      <c r="A27" s="8" t="s">
        <v>108</v>
      </c>
      <c r="B27" s="5" t="s">
        <v>81</v>
      </c>
      <c r="C27" s="6">
        <v>0.39374999999999999</v>
      </c>
      <c r="D27" s="6">
        <v>0.41875000000000001</v>
      </c>
      <c r="E27" s="9">
        <f t="shared" si="0"/>
        <v>2.5000000000000022E-2</v>
      </c>
      <c r="H27" s="2" t="s">
        <v>113</v>
      </c>
      <c r="I27" s="2" t="s">
        <v>81</v>
      </c>
      <c r="J27" s="3">
        <v>0.69722222222222219</v>
      </c>
      <c r="K27" s="3">
        <v>0.72916666666666663</v>
      </c>
      <c r="L27" s="1">
        <f t="shared" si="1"/>
        <v>3.1944444444444442E-2</v>
      </c>
      <c r="N27" s="19" t="s">
        <v>104</v>
      </c>
      <c r="O27" s="19" t="s">
        <v>81</v>
      </c>
      <c r="P27" s="20">
        <v>0.42916666666666659</v>
      </c>
      <c r="Q27" s="20">
        <v>0.45624999999999999</v>
      </c>
      <c r="R27" s="1">
        <v>2.4375000000000001E-2</v>
      </c>
      <c r="S27" s="1">
        <v>0.46875</v>
      </c>
      <c r="T27">
        <f t="shared" si="2"/>
        <v>39</v>
      </c>
      <c r="U27">
        <f t="shared" si="3"/>
        <v>52.5</v>
      </c>
      <c r="V27">
        <f t="shared" si="4"/>
        <v>11</v>
      </c>
      <c r="W27">
        <f t="shared" si="5"/>
        <v>26.5</v>
      </c>
      <c r="X27" s="1">
        <v>2.9791666666666671E-2</v>
      </c>
      <c r="Y27" s="1">
        <v>2.4375000000000001E-2</v>
      </c>
      <c r="AA27" s="19" t="s">
        <v>114</v>
      </c>
      <c r="AB27" s="19" t="s">
        <v>83</v>
      </c>
      <c r="AC27" s="20">
        <v>0.44305555555555548</v>
      </c>
      <c r="AD27" s="20">
        <v>0.46875</v>
      </c>
      <c r="AE27" s="36">
        <f>Table59[[#This Row],[Time Arrived]]-Table59[[#This Row],[Time Left]]</f>
        <v>2.569444444444452E-2</v>
      </c>
      <c r="AF27" s="36">
        <v>0.51041666666666663</v>
      </c>
      <c r="AG27" s="39">
        <f t="shared" si="6"/>
        <v>40</v>
      </c>
      <c r="AH27" s="39">
        <f t="shared" si="7"/>
        <v>25</v>
      </c>
      <c r="AI27">
        <f t="shared" si="8"/>
        <v>11</v>
      </c>
      <c r="AJ27">
        <f t="shared" si="9"/>
        <v>13</v>
      </c>
      <c r="AK27" s="36">
        <v>2.826388888888889E-2</v>
      </c>
      <c r="AL27" s="36">
        <v>2.3125E-2</v>
      </c>
      <c r="AM27" s="36"/>
    </row>
    <row r="28" spans="1:59" ht="17" customHeight="1">
      <c r="A28" s="8" t="s">
        <v>110</v>
      </c>
      <c r="B28" s="5" t="s">
        <v>81</v>
      </c>
      <c r="C28" s="6">
        <v>0.39930555555555558</v>
      </c>
      <c r="D28" s="6">
        <v>0.42986111111111108</v>
      </c>
      <c r="E28" s="9">
        <f t="shared" si="0"/>
        <v>3.0555555555555503E-2</v>
      </c>
      <c r="H28" s="2" t="s">
        <v>104</v>
      </c>
      <c r="I28" s="2" t="s">
        <v>81</v>
      </c>
      <c r="J28" s="3">
        <v>0.70208333333333328</v>
      </c>
      <c r="K28" s="3">
        <v>0.73263888888888884</v>
      </c>
      <c r="L28" s="1">
        <f t="shared" si="1"/>
        <v>3.0555555555555558E-2</v>
      </c>
      <c r="N28" s="5" t="s">
        <v>113</v>
      </c>
      <c r="O28" s="5" t="s">
        <v>81</v>
      </c>
      <c r="P28" s="6">
        <v>0.42986111111111108</v>
      </c>
      <c r="Q28" s="6">
        <v>0.45694444444444438</v>
      </c>
      <c r="R28" s="1">
        <v>2.4375000000000001E-2</v>
      </c>
      <c r="S28" s="1">
        <v>0.46875</v>
      </c>
      <c r="T28">
        <f t="shared" si="2"/>
        <v>38</v>
      </c>
      <c r="U28">
        <f t="shared" si="3"/>
        <v>52.5</v>
      </c>
      <c r="V28">
        <f t="shared" si="4"/>
        <v>10</v>
      </c>
      <c r="W28">
        <f t="shared" si="5"/>
        <v>26.5</v>
      </c>
      <c r="X28" s="1">
        <v>2.9791666666666671E-2</v>
      </c>
      <c r="Y28" s="1">
        <v>2.4375000000000001E-2</v>
      </c>
      <c r="AA28" s="5" t="s">
        <v>116</v>
      </c>
      <c r="AB28" s="5" t="s">
        <v>83</v>
      </c>
      <c r="AC28" s="6">
        <v>0.44791666666666669</v>
      </c>
      <c r="AD28" s="6">
        <v>0.47361111111111109</v>
      </c>
      <c r="AE28" s="36">
        <f>Table59[[#This Row],[Time Arrived]]-Table59[[#This Row],[Time Left]]</f>
        <v>2.5694444444444409E-2</v>
      </c>
      <c r="AF28" s="36">
        <v>0.51041666666666663</v>
      </c>
      <c r="AG28" s="39">
        <f t="shared" si="6"/>
        <v>39</v>
      </c>
      <c r="AH28" s="39">
        <f t="shared" si="7"/>
        <v>29</v>
      </c>
      <c r="AI28">
        <f t="shared" si="8"/>
        <v>10</v>
      </c>
      <c r="AJ28">
        <f t="shared" si="9"/>
        <v>15</v>
      </c>
      <c r="AK28" s="1">
        <v>2.826388888888889E-2</v>
      </c>
      <c r="AL28" s="1">
        <v>2.3125E-2</v>
      </c>
      <c r="AM28" s="1"/>
    </row>
    <row r="29" spans="1:59" ht="17" customHeight="1">
      <c r="A29" s="8" t="s">
        <v>113</v>
      </c>
      <c r="B29" s="5" t="s">
        <v>81</v>
      </c>
      <c r="C29" s="6">
        <v>0.37777777777777782</v>
      </c>
      <c r="D29" s="6">
        <v>0.4284722222222222</v>
      </c>
      <c r="E29" s="9">
        <f t="shared" si="0"/>
        <v>5.0694444444444375E-2</v>
      </c>
      <c r="H29" s="2" t="s">
        <v>82</v>
      </c>
      <c r="I29" s="2" t="s">
        <v>81</v>
      </c>
      <c r="J29" s="3">
        <v>0.70763888888888893</v>
      </c>
      <c r="K29" s="3">
        <v>0.73750000000000004</v>
      </c>
      <c r="L29" s="1">
        <f t="shared" si="1"/>
        <v>2.9861111111111116E-2</v>
      </c>
      <c r="N29" s="5" t="s">
        <v>94</v>
      </c>
      <c r="O29" s="5" t="s">
        <v>81</v>
      </c>
      <c r="P29" s="6">
        <v>0.44236111111111109</v>
      </c>
      <c r="Q29" s="6">
        <v>0.4597222222222222</v>
      </c>
      <c r="R29" s="1">
        <v>1.5625E-2</v>
      </c>
      <c r="S29" s="1">
        <v>0.46875</v>
      </c>
      <c r="T29">
        <f t="shared" si="2"/>
        <v>37</v>
      </c>
      <c r="U29">
        <f t="shared" si="3"/>
        <v>64</v>
      </c>
      <c r="V29">
        <f t="shared" si="4"/>
        <v>9</v>
      </c>
      <c r="W29">
        <f t="shared" si="5"/>
        <v>36</v>
      </c>
      <c r="X29" s="1">
        <v>1.909722222222222E-2</v>
      </c>
      <c r="Y29" s="1">
        <v>1.5625E-2</v>
      </c>
      <c r="AA29" s="19" t="s">
        <v>98</v>
      </c>
      <c r="AB29" s="19" t="s">
        <v>83</v>
      </c>
      <c r="AC29" s="20">
        <v>0.45277777777777778</v>
      </c>
      <c r="AD29" s="20">
        <v>0.4777777777777778</v>
      </c>
      <c r="AE29" s="36">
        <f>Table59[[#This Row],[Time Arrived]]-Table59[[#This Row],[Time Left]]</f>
        <v>2.5000000000000022E-2</v>
      </c>
      <c r="AF29" s="36">
        <v>0.51041666666666663</v>
      </c>
      <c r="AG29" s="39">
        <f t="shared" si="6"/>
        <v>38</v>
      </c>
      <c r="AH29" s="39">
        <f t="shared" si="7"/>
        <v>33.5</v>
      </c>
      <c r="AI29">
        <f t="shared" si="8"/>
        <v>9</v>
      </c>
      <c r="AJ29">
        <f t="shared" si="9"/>
        <v>19</v>
      </c>
      <c r="AK29" s="36">
        <v>2.75E-2</v>
      </c>
      <c r="AL29" s="36">
        <v>2.2499999999999999E-2</v>
      </c>
      <c r="AM29" s="36"/>
    </row>
    <row r="30" spans="1:59" ht="17" customHeight="1">
      <c r="A30" s="8" t="s">
        <v>115</v>
      </c>
      <c r="B30" s="5" t="s">
        <v>81</v>
      </c>
      <c r="C30" s="6">
        <v>0.40138888888888891</v>
      </c>
      <c r="D30" s="6">
        <v>0.43611111111111112</v>
      </c>
      <c r="E30" s="9">
        <f t="shared" si="0"/>
        <v>3.472222222222221E-2</v>
      </c>
      <c r="H30" s="2" t="s">
        <v>97</v>
      </c>
      <c r="I30" s="2" t="s">
        <v>81</v>
      </c>
      <c r="J30" s="3">
        <v>0.71388888888888891</v>
      </c>
      <c r="K30" s="3">
        <v>0.74513888888888891</v>
      </c>
      <c r="L30" s="1">
        <f t="shared" si="1"/>
        <v>3.125E-2</v>
      </c>
      <c r="N30" s="19" t="s">
        <v>97</v>
      </c>
      <c r="O30" s="19" t="s">
        <v>81</v>
      </c>
      <c r="P30" s="20">
        <v>0.4465277777777778</v>
      </c>
      <c r="Q30" s="20">
        <v>0.46875</v>
      </c>
      <c r="R30" s="1">
        <v>0.02</v>
      </c>
      <c r="S30" s="1">
        <v>0.51041666666666663</v>
      </c>
      <c r="T30">
        <f t="shared" si="2"/>
        <v>36</v>
      </c>
      <c r="U30">
        <f t="shared" si="3"/>
        <v>62</v>
      </c>
      <c r="V30">
        <f t="shared" si="4"/>
        <v>8</v>
      </c>
      <c r="W30">
        <f t="shared" si="5"/>
        <v>34</v>
      </c>
      <c r="X30" s="1">
        <v>2.4444444444444449E-2</v>
      </c>
      <c r="Y30" s="1">
        <v>0.02</v>
      </c>
      <c r="AA30" s="5" t="s">
        <v>105</v>
      </c>
      <c r="AB30" s="5" t="s">
        <v>83</v>
      </c>
      <c r="AC30" s="6">
        <v>0.45763888888888887</v>
      </c>
      <c r="AD30" s="6">
        <v>0.48402777777777778</v>
      </c>
      <c r="AE30" s="36">
        <f>Table59[[#This Row],[Time Arrived]]-Table59[[#This Row],[Time Left]]</f>
        <v>2.6388888888888906E-2</v>
      </c>
      <c r="AF30" s="36">
        <v>0.51041666666666663</v>
      </c>
      <c r="AG30" s="39">
        <f t="shared" si="6"/>
        <v>37</v>
      </c>
      <c r="AH30" s="39">
        <f t="shared" si="7"/>
        <v>19.5</v>
      </c>
      <c r="AI30">
        <f t="shared" si="8"/>
        <v>8</v>
      </c>
      <c r="AJ30">
        <f t="shared" si="9"/>
        <v>10.5</v>
      </c>
      <c r="AK30" s="1">
        <v>2.9027777777777781E-2</v>
      </c>
      <c r="AL30" s="1">
        <v>2.375E-2</v>
      </c>
      <c r="AM30" s="1"/>
      <c r="AN30" t="s">
        <v>121</v>
      </c>
    </row>
    <row r="31" spans="1:59" ht="17" customHeight="1">
      <c r="A31" s="8" t="s">
        <v>94</v>
      </c>
      <c r="B31" s="5" t="s">
        <v>81</v>
      </c>
      <c r="C31" s="6">
        <v>0.40625</v>
      </c>
      <c r="D31" s="6">
        <v>0.43402777777777779</v>
      </c>
      <c r="E31" s="9">
        <f t="shared" si="0"/>
        <v>2.777777777777779E-2</v>
      </c>
      <c r="H31" s="2" t="s">
        <v>94</v>
      </c>
      <c r="I31" s="2" t="s">
        <v>81</v>
      </c>
      <c r="J31" s="3">
        <v>0.71736111111111112</v>
      </c>
      <c r="K31" s="3">
        <v>0.74652777777777779</v>
      </c>
      <c r="L31" s="1">
        <f t="shared" si="1"/>
        <v>2.9166666666666674E-2</v>
      </c>
      <c r="N31" s="19" t="s">
        <v>99</v>
      </c>
      <c r="O31" s="19" t="s">
        <v>81</v>
      </c>
      <c r="P31" s="20">
        <v>0.44861111111111113</v>
      </c>
      <c r="Q31" s="20">
        <v>0.47708333333333341</v>
      </c>
      <c r="R31" s="1">
        <v>2.5624999999999998E-2</v>
      </c>
      <c r="S31" s="1">
        <v>0.51041666666666663</v>
      </c>
      <c r="T31">
        <f t="shared" si="2"/>
        <v>35</v>
      </c>
      <c r="U31">
        <f t="shared" si="3"/>
        <v>41.5</v>
      </c>
      <c r="V31">
        <f t="shared" si="4"/>
        <v>7</v>
      </c>
      <c r="W31">
        <f t="shared" si="5"/>
        <v>21.5</v>
      </c>
      <c r="X31" s="1">
        <v>3.1319444444444441E-2</v>
      </c>
      <c r="Y31" s="1">
        <v>2.5624999999999998E-2</v>
      </c>
      <c r="AA31" s="19" t="s">
        <v>122</v>
      </c>
      <c r="AB31" s="19" t="s">
        <v>83</v>
      </c>
      <c r="AC31" s="20">
        <v>0.46319444444444452</v>
      </c>
      <c r="AD31" s="20">
        <v>0.48472222222222222</v>
      </c>
      <c r="AE31" s="36">
        <f>Table59[[#This Row],[Time Arrived]]-Table59[[#This Row],[Time Left]]</f>
        <v>2.1527777777777701E-2</v>
      </c>
      <c r="AF31" s="36">
        <v>0.51041666666666663</v>
      </c>
      <c r="AG31" s="39">
        <f t="shared" si="6"/>
        <v>36</v>
      </c>
      <c r="AH31" s="39">
        <f t="shared" si="7"/>
        <v>62</v>
      </c>
      <c r="AI31">
        <f t="shared" si="8"/>
        <v>7</v>
      </c>
      <c r="AJ31">
        <f t="shared" si="9"/>
        <v>35</v>
      </c>
      <c r="AK31" s="36">
        <v>2.3680555555555559E-2</v>
      </c>
      <c r="AL31" s="36">
        <v>1.9375E-2</v>
      </c>
      <c r="AM31" s="36"/>
      <c r="AO31" t="s">
        <v>90</v>
      </c>
      <c r="AP31" t="s">
        <v>123</v>
      </c>
      <c r="AQ31" t="s">
        <v>124</v>
      </c>
      <c r="AR31" t="s">
        <v>125</v>
      </c>
      <c r="AS31" t="s">
        <v>126</v>
      </c>
    </row>
    <row r="32" spans="1:59" ht="17" customHeight="1">
      <c r="A32" s="8" t="s">
        <v>97</v>
      </c>
      <c r="B32" s="5" t="s">
        <v>81</v>
      </c>
      <c r="C32" s="6">
        <v>0.37847222222222221</v>
      </c>
      <c r="D32" s="6">
        <v>0.43333333333333329</v>
      </c>
      <c r="E32" s="9">
        <f t="shared" si="0"/>
        <v>5.4861111111111083E-2</v>
      </c>
      <c r="H32" s="2" t="s">
        <v>99</v>
      </c>
      <c r="I32" s="2" t="s">
        <v>81</v>
      </c>
      <c r="J32" s="3">
        <v>0.71527777777777779</v>
      </c>
      <c r="K32" s="4"/>
      <c r="L32" s="1">
        <f t="shared" si="1"/>
        <v>-0.71527777777777779</v>
      </c>
      <c r="N32" s="5" t="s">
        <v>107</v>
      </c>
      <c r="O32" s="5" t="s">
        <v>81</v>
      </c>
      <c r="P32" s="6">
        <v>0.45</v>
      </c>
      <c r="Q32" s="6">
        <v>0.4826388888888889</v>
      </c>
      <c r="R32" s="1">
        <v>2.9374999999999998E-2</v>
      </c>
      <c r="S32" s="1">
        <v>0.51041666666666663</v>
      </c>
      <c r="T32">
        <f t="shared" si="2"/>
        <v>34</v>
      </c>
      <c r="U32">
        <f t="shared" si="3"/>
        <v>17</v>
      </c>
      <c r="V32">
        <f t="shared" si="4"/>
        <v>6</v>
      </c>
      <c r="W32">
        <f t="shared" si="5"/>
        <v>4</v>
      </c>
      <c r="X32" s="1">
        <v>3.5902777777777783E-2</v>
      </c>
      <c r="Y32" s="1">
        <v>2.9374999999999998E-2</v>
      </c>
      <c r="AA32" s="5" t="s">
        <v>109</v>
      </c>
      <c r="AB32" s="5" t="s">
        <v>83</v>
      </c>
      <c r="AC32" s="6">
        <v>0.46736111111111112</v>
      </c>
      <c r="AD32" s="6">
        <v>0.48958333333333331</v>
      </c>
      <c r="AE32" s="36">
        <f>Table59[[#This Row],[Time Arrived]]-Table59[[#This Row],[Time Left]]</f>
        <v>2.2222222222222199E-2</v>
      </c>
      <c r="AF32" s="36">
        <v>0.51041666666666663</v>
      </c>
      <c r="AG32" s="39">
        <f t="shared" si="6"/>
        <v>35</v>
      </c>
      <c r="AH32" s="39">
        <f t="shared" si="7"/>
        <v>59</v>
      </c>
      <c r="AI32">
        <f t="shared" si="8"/>
        <v>6</v>
      </c>
      <c r="AJ32">
        <f t="shared" si="9"/>
        <v>33</v>
      </c>
      <c r="AK32" s="1">
        <v>2.4444444444444449E-2</v>
      </c>
      <c r="AL32" s="1">
        <v>0.02</v>
      </c>
      <c r="AM32" s="1"/>
      <c r="AN32" s="1">
        <v>0.38541666666666669</v>
      </c>
      <c r="AO32" s="1">
        <f t="shared" ref="AO32:AO40" si="10">AP3</f>
        <v>2.2222222222222199E-2</v>
      </c>
      <c r="AP32" s="1">
        <f t="shared" ref="AP32:AS40" si="11">AQ3-AP3</f>
        <v>3.4722222222222099E-3</v>
      </c>
      <c r="AQ32" s="1">
        <f t="shared" si="11"/>
        <v>3.4722222222223209E-3</v>
      </c>
      <c r="AR32" s="1">
        <f t="shared" si="11"/>
        <v>6.9444444444438647E-4</v>
      </c>
      <c r="AS32" s="1">
        <f t="shared" si="11"/>
        <v>6.9444444444438647E-4</v>
      </c>
    </row>
    <row r="33" spans="1:54" ht="17" customHeight="1">
      <c r="A33" s="8" t="s">
        <v>107</v>
      </c>
      <c r="B33" s="5" t="s">
        <v>81</v>
      </c>
      <c r="C33" s="6">
        <v>0.41249999999999998</v>
      </c>
      <c r="D33" s="6">
        <v>0.44097222222222221</v>
      </c>
      <c r="E33" s="9">
        <f t="shared" si="0"/>
        <v>2.8472222222222232E-2</v>
      </c>
      <c r="H33" s="2" t="s">
        <v>107</v>
      </c>
      <c r="I33" s="2" t="s">
        <v>81</v>
      </c>
      <c r="J33" s="3">
        <v>0.72222222222222221</v>
      </c>
      <c r="K33" s="3">
        <v>0.75347222222222221</v>
      </c>
      <c r="L33" s="1">
        <f t="shared" si="1"/>
        <v>3.125E-2</v>
      </c>
      <c r="N33" s="19" t="s">
        <v>108</v>
      </c>
      <c r="O33" s="19" t="s">
        <v>81</v>
      </c>
      <c r="P33" s="20">
        <v>0.45763888888888887</v>
      </c>
      <c r="Q33" s="20">
        <v>0.4861111111111111</v>
      </c>
      <c r="R33" s="1">
        <v>2.5624999999999998E-2</v>
      </c>
      <c r="S33" s="1">
        <v>0.51041666666666663</v>
      </c>
      <c r="T33">
        <f t="shared" si="2"/>
        <v>33</v>
      </c>
      <c r="U33">
        <f t="shared" si="3"/>
        <v>41.5</v>
      </c>
      <c r="V33">
        <f t="shared" si="4"/>
        <v>5</v>
      </c>
      <c r="W33">
        <f t="shared" si="5"/>
        <v>21.5</v>
      </c>
      <c r="X33" s="1">
        <v>3.1319444444444441E-2</v>
      </c>
      <c r="Y33" s="1">
        <v>2.5624999999999998E-2</v>
      </c>
      <c r="AA33" s="19" t="s">
        <v>111</v>
      </c>
      <c r="AB33" s="19" t="s">
        <v>83</v>
      </c>
      <c r="AC33" s="20">
        <v>0.47291666666666671</v>
      </c>
      <c r="AD33" s="20">
        <v>0.49513888888888891</v>
      </c>
      <c r="AE33" s="36">
        <f>Table59[[#This Row],[Time Arrived]]-Table59[[#This Row],[Time Left]]</f>
        <v>2.2222222222222199E-2</v>
      </c>
      <c r="AF33" s="36">
        <v>0.51041666666666663</v>
      </c>
      <c r="AG33" s="39">
        <f t="shared" si="6"/>
        <v>34</v>
      </c>
      <c r="AH33" s="39">
        <f t="shared" si="7"/>
        <v>59</v>
      </c>
      <c r="AI33">
        <f t="shared" si="8"/>
        <v>5</v>
      </c>
      <c r="AJ33">
        <f t="shared" si="9"/>
        <v>33</v>
      </c>
      <c r="AK33" s="36">
        <v>2.4444444444444449E-2</v>
      </c>
      <c r="AL33" s="36">
        <v>0.02</v>
      </c>
      <c r="AM33" s="36"/>
      <c r="AN33" s="1">
        <v>0.42708333333333331</v>
      </c>
      <c r="AO33" s="1">
        <f t="shared" si="10"/>
        <v>0.02</v>
      </c>
      <c r="AP33" s="1">
        <f t="shared" si="11"/>
        <v>2.812499999999999E-3</v>
      </c>
      <c r="AQ33" s="1">
        <f t="shared" si="11"/>
        <v>3.4374999999999996E-3</v>
      </c>
      <c r="AR33" s="1">
        <f t="shared" si="11"/>
        <v>3.1250000000000028E-4</v>
      </c>
      <c r="AS33" s="1">
        <f t="shared" si="11"/>
        <v>3.1250000000000028E-4</v>
      </c>
    </row>
    <row r="34" spans="1:54" ht="17" customHeight="1">
      <c r="A34" s="8" t="s">
        <v>95</v>
      </c>
      <c r="B34" s="5" t="s">
        <v>81</v>
      </c>
      <c r="C34" s="6">
        <v>0.41944444444444451</v>
      </c>
      <c r="D34" s="7"/>
      <c r="E34" s="9">
        <f t="shared" ref="E34:E65" si="12">D34-C34</f>
        <v>-0.41944444444444451</v>
      </c>
      <c r="H34" s="2" t="s">
        <v>108</v>
      </c>
      <c r="I34" s="2" t="s">
        <v>81</v>
      </c>
      <c r="J34" s="3">
        <v>0.72777777777777775</v>
      </c>
      <c r="K34" s="3">
        <v>0.75902777777777775</v>
      </c>
      <c r="L34" s="1">
        <f t="shared" ref="L34:L65" si="13">K34-J34</f>
        <v>3.125E-2</v>
      </c>
      <c r="N34" s="5" t="s">
        <v>127</v>
      </c>
      <c r="O34" s="5" t="s">
        <v>81</v>
      </c>
      <c r="P34" s="6">
        <v>0.46250000000000002</v>
      </c>
      <c r="Q34" s="6">
        <v>0.49236111111111108</v>
      </c>
      <c r="R34" s="1">
        <v>2.6875E-2</v>
      </c>
      <c r="S34" s="1">
        <v>0.51041666666666663</v>
      </c>
      <c r="T34">
        <f t="shared" ref="T34:T65" si="14">_xlfn.RANK.AVG($Q34,$Q$2:$Q$65,0)</f>
        <v>32</v>
      </c>
      <c r="U34">
        <f t="shared" ref="U34:U65" si="15">_xlfn.RANK.AVG(R34,$R$2:$R$65,0)</f>
        <v>31</v>
      </c>
      <c r="V34">
        <f t="shared" si="4"/>
        <v>4</v>
      </c>
      <c r="W34">
        <f t="shared" si="5"/>
        <v>12</v>
      </c>
      <c r="X34" s="1">
        <v>3.2847222222222222E-2</v>
      </c>
      <c r="Y34" s="1">
        <v>2.6875E-2</v>
      </c>
      <c r="AA34" s="5" t="s">
        <v>82</v>
      </c>
      <c r="AB34" s="5" t="s">
        <v>83</v>
      </c>
      <c r="AC34" s="6">
        <v>0.47430555555555548</v>
      </c>
      <c r="AD34" s="6">
        <v>0.50138888888888888</v>
      </c>
      <c r="AE34" s="36">
        <f>Table59[[#This Row],[Time Arrived]]-Table59[[#This Row],[Time Left]]</f>
        <v>2.7083333333333404E-2</v>
      </c>
      <c r="AF34" s="36">
        <v>0.51041666666666663</v>
      </c>
      <c r="AG34" s="39">
        <f t="shared" ref="AG34:AG65" si="16">_xlfn.RANK.AVG($AD34,$AD$2:$AD$66,0)</f>
        <v>33</v>
      </c>
      <c r="AH34" s="39">
        <f t="shared" ref="AH34:AH65" si="17">_xlfn.RANK.AVG($AE34,$AE$2:$AE$65,0)</f>
        <v>6.5</v>
      </c>
      <c r="AI34">
        <f t="shared" si="8"/>
        <v>4</v>
      </c>
      <c r="AJ34">
        <f t="shared" si="9"/>
        <v>4.5</v>
      </c>
      <c r="AK34" s="1">
        <v>2.9791666666666671E-2</v>
      </c>
      <c r="AL34" s="1">
        <v>2.4375000000000001E-2</v>
      </c>
      <c r="AM34" s="1"/>
      <c r="AN34" s="1">
        <v>0.46875</v>
      </c>
      <c r="AO34" s="1">
        <f t="shared" si="10"/>
        <v>1.5625E-2</v>
      </c>
      <c r="AP34" s="1">
        <f t="shared" si="11"/>
        <v>8.7500000000000008E-3</v>
      </c>
      <c r="AQ34" s="1">
        <f t="shared" si="11"/>
        <v>9.3750000000000083E-4</v>
      </c>
      <c r="AR34" s="1">
        <f t="shared" si="11"/>
        <v>2.1874999999999985E-3</v>
      </c>
      <c r="AS34" s="1">
        <f t="shared" si="11"/>
        <v>3.7499999999999999E-3</v>
      </c>
    </row>
    <row r="35" spans="1:54" ht="17" customHeight="1">
      <c r="A35" s="8" t="s">
        <v>99</v>
      </c>
      <c r="B35" s="5" t="s">
        <v>81</v>
      </c>
      <c r="C35" s="6">
        <v>0.41666666666666669</v>
      </c>
      <c r="D35" s="6">
        <v>0.43888888888888888</v>
      </c>
      <c r="E35" s="9">
        <f t="shared" si="12"/>
        <v>2.2222222222222199E-2</v>
      </c>
      <c r="H35" s="2" t="s">
        <v>113</v>
      </c>
      <c r="I35" s="2" t="s">
        <v>81</v>
      </c>
      <c r="J35" s="3">
        <v>0.73333333333333328</v>
      </c>
      <c r="K35" s="4"/>
      <c r="L35" s="1">
        <f t="shared" si="13"/>
        <v>-0.73333333333333328</v>
      </c>
      <c r="N35" s="19" t="s">
        <v>128</v>
      </c>
      <c r="O35" s="19" t="s">
        <v>81</v>
      </c>
      <c r="P35" s="20">
        <v>0.46805555555555561</v>
      </c>
      <c r="Q35" s="20">
        <v>0.49722222222222218</v>
      </c>
      <c r="R35" s="1">
        <v>2.6249999999999999E-2</v>
      </c>
      <c r="S35" s="1">
        <v>0.51041666666666663</v>
      </c>
      <c r="T35">
        <f t="shared" si="14"/>
        <v>31</v>
      </c>
      <c r="U35">
        <f t="shared" si="15"/>
        <v>35.5</v>
      </c>
      <c r="V35">
        <f t="shared" si="4"/>
        <v>3</v>
      </c>
      <c r="W35">
        <f t="shared" si="5"/>
        <v>16.5</v>
      </c>
      <c r="X35" s="1">
        <v>3.2083333333333332E-2</v>
      </c>
      <c r="Y35" s="1">
        <v>2.6249999999999999E-2</v>
      </c>
      <c r="AA35" s="19" t="s">
        <v>114</v>
      </c>
      <c r="AB35" s="19" t="s">
        <v>83</v>
      </c>
      <c r="AC35" s="20">
        <v>0.47708333333333341</v>
      </c>
      <c r="AD35" s="20">
        <v>0.50347222222222221</v>
      </c>
      <c r="AE35" s="36">
        <f>Table59[[#This Row],[Time Arrived]]-Table59[[#This Row],[Time Left]]</f>
        <v>2.6388888888888795E-2</v>
      </c>
      <c r="AF35" s="36">
        <v>0.51041666666666663</v>
      </c>
      <c r="AG35" s="39">
        <f t="shared" si="16"/>
        <v>32</v>
      </c>
      <c r="AH35" s="39">
        <f t="shared" si="17"/>
        <v>24</v>
      </c>
      <c r="AI35">
        <f t="shared" si="8"/>
        <v>3</v>
      </c>
      <c r="AJ35">
        <f t="shared" si="9"/>
        <v>12</v>
      </c>
      <c r="AK35" s="36">
        <v>2.9027777777777781E-2</v>
      </c>
      <c r="AL35" s="36">
        <v>2.375E-2</v>
      </c>
      <c r="AM35" s="36"/>
      <c r="AN35" s="1">
        <v>0.51041666666666663</v>
      </c>
      <c r="AO35" s="1">
        <f t="shared" si="10"/>
        <v>0.02</v>
      </c>
      <c r="AP35" s="1">
        <f t="shared" si="11"/>
        <v>5.6249999999999981E-3</v>
      </c>
      <c r="AQ35" s="1">
        <f t="shared" si="11"/>
        <v>3.1250000000000028E-4</v>
      </c>
      <c r="AR35" s="1">
        <f t="shared" si="11"/>
        <v>1.093750000000001E-3</v>
      </c>
      <c r="AS35" s="1">
        <f t="shared" si="11"/>
        <v>2.3437499999999986E-3</v>
      </c>
      <c r="AU35" t="s">
        <v>129</v>
      </c>
      <c r="BB35" t="s">
        <v>130</v>
      </c>
    </row>
    <row r="36" spans="1:54" ht="17" customHeight="1">
      <c r="A36" s="8" t="s">
        <v>102</v>
      </c>
      <c r="B36" s="5" t="s">
        <v>81</v>
      </c>
      <c r="C36" s="6">
        <v>0.42083333333333328</v>
      </c>
      <c r="D36" s="6">
        <v>0.4513888888888889</v>
      </c>
      <c r="E36" s="9">
        <f t="shared" si="12"/>
        <v>3.0555555555555614E-2</v>
      </c>
      <c r="H36" s="2" t="s">
        <v>104</v>
      </c>
      <c r="I36" s="2" t="s">
        <v>81</v>
      </c>
      <c r="J36" s="3">
        <v>0.73819444444444449</v>
      </c>
      <c r="K36" s="4"/>
      <c r="L36" s="1">
        <f t="shared" si="13"/>
        <v>-0.73819444444444449</v>
      </c>
      <c r="N36" s="19" t="s">
        <v>97</v>
      </c>
      <c r="O36" s="19" t="s">
        <v>81</v>
      </c>
      <c r="P36" s="20">
        <v>0.47708333333333341</v>
      </c>
      <c r="Q36" s="20">
        <v>0.50763888888888886</v>
      </c>
      <c r="R36" s="1">
        <v>2.75E-2</v>
      </c>
      <c r="S36" s="1">
        <v>0.51041666666666663</v>
      </c>
      <c r="T36">
        <f t="shared" si="14"/>
        <v>30</v>
      </c>
      <c r="U36">
        <f t="shared" si="15"/>
        <v>26.5</v>
      </c>
      <c r="V36">
        <f t="shared" si="4"/>
        <v>2</v>
      </c>
      <c r="W36">
        <f t="shared" si="5"/>
        <v>7.5</v>
      </c>
      <c r="X36" s="1">
        <v>3.3611111111111112E-2</v>
      </c>
      <c r="Y36" s="1">
        <v>2.75E-2</v>
      </c>
      <c r="AA36" s="5" t="s">
        <v>116</v>
      </c>
      <c r="AB36" s="5" t="s">
        <v>83</v>
      </c>
      <c r="AC36" s="6">
        <v>0.48194444444444451</v>
      </c>
      <c r="AD36" s="6">
        <v>0.50972222222222219</v>
      </c>
      <c r="AE36" s="36">
        <f>Table59[[#This Row],[Time Arrived]]-Table59[[#This Row],[Time Left]]</f>
        <v>2.7777777777777679E-2</v>
      </c>
      <c r="AF36" s="36">
        <v>0.51041666666666663</v>
      </c>
      <c r="AG36" s="39">
        <f t="shared" si="16"/>
        <v>30.5</v>
      </c>
      <c r="AH36" s="39">
        <f t="shared" si="17"/>
        <v>5</v>
      </c>
      <c r="AI36">
        <f t="shared" si="8"/>
        <v>1.5</v>
      </c>
      <c r="AJ36">
        <f t="shared" si="9"/>
        <v>3</v>
      </c>
      <c r="AK36" s="1">
        <v>3.0555555555555551E-2</v>
      </c>
      <c r="AL36" s="1">
        <v>2.5000000000000001E-2</v>
      </c>
      <c r="AM36" s="1"/>
      <c r="AN36" s="1">
        <v>0.63541666666666663</v>
      </c>
      <c r="AO36" s="1">
        <f t="shared" si="10"/>
        <v>2.4375000000000001E-2</v>
      </c>
      <c r="AP36" s="1">
        <f t="shared" si="11"/>
        <v>6.2500000000000056E-4</v>
      </c>
      <c r="AQ36" s="1">
        <f t="shared" si="11"/>
        <v>0</v>
      </c>
      <c r="AR36" s="1">
        <f t="shared" si="11"/>
        <v>3.1250000000000028E-4</v>
      </c>
      <c r="AS36" s="1">
        <f t="shared" si="11"/>
        <v>3.1249999999999681E-4</v>
      </c>
      <c r="AU36" t="s">
        <v>131</v>
      </c>
    </row>
    <row r="37" spans="1:54" ht="17" customHeight="1">
      <c r="A37" s="8" t="s">
        <v>108</v>
      </c>
      <c r="B37" s="5" t="s">
        <v>81</v>
      </c>
      <c r="C37" s="6">
        <v>0.41736111111111113</v>
      </c>
      <c r="D37" s="6">
        <v>0.44513888888888892</v>
      </c>
      <c r="E37" s="9">
        <f t="shared" si="12"/>
        <v>2.777777777777779E-2</v>
      </c>
      <c r="H37" s="2" t="s">
        <v>82</v>
      </c>
      <c r="I37" s="2" t="s">
        <v>81</v>
      </c>
      <c r="J37" s="3">
        <v>0.74375000000000002</v>
      </c>
      <c r="K37" s="4"/>
      <c r="L37" s="1">
        <f t="shared" si="13"/>
        <v>-0.74375000000000002</v>
      </c>
      <c r="N37" s="5" t="s">
        <v>94</v>
      </c>
      <c r="O37" s="5" t="s">
        <v>81</v>
      </c>
      <c r="P37" s="6">
        <v>0.48125000000000001</v>
      </c>
      <c r="Q37" s="6">
        <v>0.50972222222222219</v>
      </c>
      <c r="R37" s="1">
        <v>2.5624999999999998E-2</v>
      </c>
      <c r="S37" s="1">
        <v>0.51041666666666663</v>
      </c>
      <c r="T37">
        <f t="shared" si="14"/>
        <v>29</v>
      </c>
      <c r="U37">
        <f t="shared" si="15"/>
        <v>41.5</v>
      </c>
      <c r="V37">
        <f t="shared" si="4"/>
        <v>1</v>
      </c>
      <c r="W37">
        <f t="shared" si="5"/>
        <v>21.5</v>
      </c>
      <c r="X37" s="1">
        <v>3.1319444444444441E-2</v>
      </c>
      <c r="Y37" s="1">
        <v>2.5624999999999998E-2</v>
      </c>
      <c r="AA37" s="19" t="s">
        <v>98</v>
      </c>
      <c r="AB37" s="19" t="s">
        <v>83</v>
      </c>
      <c r="AC37" s="20">
        <v>0.48680555555555549</v>
      </c>
      <c r="AD37" s="20">
        <v>0.50972222222222219</v>
      </c>
      <c r="AE37" s="36">
        <f>Table59[[#This Row],[Time Arrived]]-Table59[[#This Row],[Time Left]]</f>
        <v>2.2916666666666696E-2</v>
      </c>
      <c r="AF37" s="36">
        <v>0.51041666666666663</v>
      </c>
      <c r="AG37" s="39">
        <f t="shared" si="16"/>
        <v>30.5</v>
      </c>
      <c r="AH37" s="39">
        <f t="shared" si="17"/>
        <v>52.5</v>
      </c>
      <c r="AI37">
        <f t="shared" si="8"/>
        <v>1.5</v>
      </c>
      <c r="AJ37">
        <f t="shared" si="9"/>
        <v>29.5</v>
      </c>
      <c r="AK37" s="36">
        <v>2.5208333333333329E-2</v>
      </c>
      <c r="AL37" s="36">
        <v>2.0625000000000001E-2</v>
      </c>
      <c r="AM37" s="36"/>
      <c r="AN37" s="1">
        <v>0.67708333333333337</v>
      </c>
      <c r="AO37" s="1">
        <f t="shared" si="10"/>
        <v>2.2499999999999999E-2</v>
      </c>
      <c r="AP37" s="1">
        <f t="shared" si="11"/>
        <v>2.3437500000000021E-3</v>
      </c>
      <c r="AQ37" s="1">
        <f t="shared" si="11"/>
        <v>1.5625000000000014E-4</v>
      </c>
      <c r="AR37" s="1">
        <f t="shared" si="11"/>
        <v>1.3368055555555286E-3</v>
      </c>
      <c r="AS37" s="1">
        <f t="shared" si="11"/>
        <v>5.5381944444444706E-3</v>
      </c>
    </row>
    <row r="38" spans="1:54" ht="17" customHeight="1">
      <c r="A38" s="8" t="s">
        <v>104</v>
      </c>
      <c r="B38" s="5" t="s">
        <v>81</v>
      </c>
      <c r="C38" s="6">
        <v>0.42916666666666659</v>
      </c>
      <c r="D38" s="6">
        <v>0.45624999999999999</v>
      </c>
      <c r="E38" s="9">
        <f t="shared" si="12"/>
        <v>2.7083333333333404E-2</v>
      </c>
      <c r="H38" s="2" t="s">
        <v>97</v>
      </c>
      <c r="I38" s="2" t="s">
        <v>81</v>
      </c>
      <c r="J38" s="3">
        <v>0.74861111111111112</v>
      </c>
      <c r="K38" s="4"/>
      <c r="L38" s="1">
        <f t="shared" si="13"/>
        <v>-0.74861111111111112</v>
      </c>
      <c r="N38" s="19" t="s">
        <v>97</v>
      </c>
      <c r="O38" s="19" t="s">
        <v>81</v>
      </c>
      <c r="P38" s="20">
        <v>0.59375</v>
      </c>
      <c r="Q38" s="20">
        <v>0.62222222222222223</v>
      </c>
      <c r="R38" s="1">
        <v>2.5624999999999998E-2</v>
      </c>
      <c r="S38" s="1">
        <v>0.63541666666666663</v>
      </c>
      <c r="T38">
        <f t="shared" si="14"/>
        <v>28</v>
      </c>
      <c r="U38">
        <f t="shared" si="15"/>
        <v>41.5</v>
      </c>
      <c r="V38">
        <f t="shared" ref="V38:V65" si="18">_xlfn.RANK.AVG($Q38,$Q$38:$Q$65,0)</f>
        <v>28</v>
      </c>
      <c r="W38">
        <f t="shared" ref="W38:W65" si="19">_xlfn.RANK.AVG($R38,$R$38:$R$65,0)</f>
        <v>20.5</v>
      </c>
      <c r="X38" s="41">
        <v>3.1319444444444441E-2</v>
      </c>
      <c r="Y38" s="1">
        <v>2.5624999999999998E-2</v>
      </c>
      <c r="AA38" s="5" t="s">
        <v>98</v>
      </c>
      <c r="AB38" s="5" t="s">
        <v>83</v>
      </c>
      <c r="AC38" s="6">
        <v>0.58819444444444446</v>
      </c>
      <c r="AD38" s="6">
        <v>0.61458333333333337</v>
      </c>
      <c r="AE38" s="36">
        <f>Table59[[#This Row],[Time Arrived]]-Table59[[#This Row],[Time Left]]</f>
        <v>2.6388888888888906E-2</v>
      </c>
      <c r="AF38" s="1">
        <v>0.63541666666666663</v>
      </c>
      <c r="AG38">
        <f t="shared" si="16"/>
        <v>29</v>
      </c>
      <c r="AH38">
        <f t="shared" si="17"/>
        <v>19.5</v>
      </c>
      <c r="AI38">
        <f t="shared" ref="AI38:AI66" si="20">_xlfn.RANK.AVG($AD38,$AD$38:$AD$66,0)</f>
        <v>29</v>
      </c>
      <c r="AJ38">
        <f t="shared" ref="AJ38:AJ66" si="21">_xlfn.RANK.AVG($AE38,$AE$38:$AE$66,0)</f>
        <v>10</v>
      </c>
      <c r="AK38" s="41">
        <v>2.9027777777777781E-2</v>
      </c>
      <c r="AL38" s="41">
        <v>2.375E-2</v>
      </c>
      <c r="AM38" s="41"/>
      <c r="AN38" s="1">
        <v>0.71875</v>
      </c>
      <c r="AO38" s="1">
        <f t="shared" si="10"/>
        <v>2.8472222222222232E-2</v>
      </c>
      <c r="AP38" s="1">
        <f t="shared" si="11"/>
        <v>6.9444444444444198E-4</v>
      </c>
      <c r="AQ38" s="1">
        <f t="shared" si="11"/>
        <v>6.9444444444444198E-4</v>
      </c>
      <c r="AR38" s="1">
        <f t="shared" si="11"/>
        <v>1.388888888888884E-3</v>
      </c>
      <c r="AS38" s="1">
        <f t="shared" si="11"/>
        <v>2.0833333333333259E-3</v>
      </c>
    </row>
    <row r="39" spans="1:54" ht="17" customHeight="1">
      <c r="A39" s="8" t="s">
        <v>113</v>
      </c>
      <c r="B39" s="5" t="s">
        <v>81</v>
      </c>
      <c r="C39" s="6">
        <v>0.42986111111111108</v>
      </c>
      <c r="D39" s="6">
        <v>0.45694444444444438</v>
      </c>
      <c r="E39" s="9">
        <f t="shared" si="12"/>
        <v>2.7083333333333293E-2</v>
      </c>
      <c r="H39" s="2" t="s">
        <v>94</v>
      </c>
      <c r="I39" s="2" t="s">
        <v>81</v>
      </c>
      <c r="J39" s="4"/>
      <c r="K39" s="4"/>
      <c r="L39" s="1">
        <f t="shared" si="13"/>
        <v>0</v>
      </c>
      <c r="N39" s="5" t="s">
        <v>94</v>
      </c>
      <c r="O39" s="5" t="s">
        <v>81</v>
      </c>
      <c r="P39" s="6">
        <v>0.59791666666666665</v>
      </c>
      <c r="Q39" s="6">
        <v>0.625</v>
      </c>
      <c r="R39" s="1">
        <v>2.4375000000000001E-2</v>
      </c>
      <c r="S39" s="1">
        <v>0.63541666666666663</v>
      </c>
      <c r="T39">
        <f t="shared" si="14"/>
        <v>27</v>
      </c>
      <c r="U39">
        <f t="shared" si="15"/>
        <v>52.5</v>
      </c>
      <c r="V39">
        <f t="shared" si="18"/>
        <v>27</v>
      </c>
      <c r="W39">
        <f t="shared" si="19"/>
        <v>26.5</v>
      </c>
      <c r="X39" s="1">
        <v>2.9791666666666671E-2</v>
      </c>
      <c r="Y39" s="1">
        <v>2.4375000000000001E-2</v>
      </c>
      <c r="AA39" s="19" t="s">
        <v>105</v>
      </c>
      <c r="AB39" s="19" t="s">
        <v>83</v>
      </c>
      <c r="AC39" s="20">
        <v>0.59444444444444444</v>
      </c>
      <c r="AD39" s="20">
        <v>0.61736111111111114</v>
      </c>
      <c r="AE39" s="36">
        <f>Table59[[#This Row],[Time Arrived]]-Table59[[#This Row],[Time Left]]</f>
        <v>2.2916666666666696E-2</v>
      </c>
      <c r="AF39" s="1">
        <v>0.63541666666666663</v>
      </c>
      <c r="AG39">
        <f t="shared" si="16"/>
        <v>28</v>
      </c>
      <c r="AH39">
        <f t="shared" si="17"/>
        <v>52.5</v>
      </c>
      <c r="AI39">
        <f t="shared" si="20"/>
        <v>28</v>
      </c>
      <c r="AJ39">
        <f t="shared" si="21"/>
        <v>24.5</v>
      </c>
      <c r="AK39" s="36">
        <v>2.5208333333333329E-2</v>
      </c>
      <c r="AL39" s="36">
        <v>2.0625000000000001E-2</v>
      </c>
      <c r="AM39" s="36"/>
      <c r="AN39" s="1">
        <v>0.76041666666666663</v>
      </c>
      <c r="AO39" s="1">
        <f t="shared" si="10"/>
        <v>2.9166666666666674E-2</v>
      </c>
      <c r="AP39" s="1">
        <f t="shared" si="11"/>
        <v>1.2152777777777735E-3</v>
      </c>
      <c r="AQ39" s="1">
        <f t="shared" si="11"/>
        <v>8.6805555555555247E-4</v>
      </c>
      <c r="AR39" s="1">
        <f t="shared" si="11"/>
        <v>1.7361111111111049E-4</v>
      </c>
      <c r="AS39" s="1">
        <f t="shared" si="11"/>
        <v>1.2152777777777735E-3</v>
      </c>
    </row>
    <row r="40" spans="1:54" ht="17" customHeight="1">
      <c r="A40" s="8" t="s">
        <v>110</v>
      </c>
      <c r="B40" s="5" t="s">
        <v>81</v>
      </c>
      <c r="C40" s="6">
        <v>0.43333333333333329</v>
      </c>
      <c r="D40" s="7"/>
      <c r="E40" s="9">
        <f t="shared" si="12"/>
        <v>-0.43333333333333329</v>
      </c>
      <c r="H40" s="2" t="s">
        <v>105</v>
      </c>
      <c r="I40" s="2" t="s">
        <v>83</v>
      </c>
      <c r="J40" s="3">
        <v>0.59444444444444444</v>
      </c>
      <c r="K40" s="3">
        <v>0.61736111111111114</v>
      </c>
      <c r="L40" s="1">
        <f t="shared" si="13"/>
        <v>2.2916666666666696E-2</v>
      </c>
      <c r="N40" s="5" t="s">
        <v>99</v>
      </c>
      <c r="O40" s="5" t="s">
        <v>81</v>
      </c>
      <c r="P40" s="6">
        <v>0.60347222222222219</v>
      </c>
      <c r="Q40" s="6">
        <v>0.63124999999999998</v>
      </c>
      <c r="R40" s="1">
        <v>2.5000000000000001E-2</v>
      </c>
      <c r="S40" s="1">
        <v>0.63541666666666663</v>
      </c>
      <c r="T40">
        <f t="shared" si="14"/>
        <v>26</v>
      </c>
      <c r="U40">
        <f t="shared" si="15"/>
        <v>47.5</v>
      </c>
      <c r="V40">
        <f t="shared" si="18"/>
        <v>26</v>
      </c>
      <c r="W40">
        <f t="shared" si="19"/>
        <v>23.5</v>
      </c>
      <c r="X40" s="1">
        <v>3.0555555555555551E-2</v>
      </c>
      <c r="Y40" s="1">
        <v>2.5000000000000001E-2</v>
      </c>
      <c r="AA40" s="19" t="s">
        <v>103</v>
      </c>
      <c r="AB40" s="19" t="s">
        <v>83</v>
      </c>
      <c r="AC40" s="20">
        <v>0.59861111111111109</v>
      </c>
      <c r="AD40" s="20">
        <v>0.62222222222222223</v>
      </c>
      <c r="AE40" s="36">
        <f>Table59[[#This Row],[Time Arrived]]-Table59[[#This Row],[Time Left]]</f>
        <v>2.3611111111111138E-2</v>
      </c>
      <c r="AF40" s="1">
        <v>0.63541666666666663</v>
      </c>
      <c r="AG40">
        <f t="shared" si="16"/>
        <v>27</v>
      </c>
      <c r="AH40">
        <f t="shared" si="17"/>
        <v>47</v>
      </c>
      <c r="AI40">
        <f t="shared" si="20"/>
        <v>27</v>
      </c>
      <c r="AJ40">
        <f t="shared" si="21"/>
        <v>22</v>
      </c>
      <c r="AK40" s="36">
        <v>2.5972222222222219E-2</v>
      </c>
      <c r="AL40" s="36">
        <v>2.1250000000000002E-2</v>
      </c>
      <c r="AM40" s="36"/>
      <c r="AN40" t="s">
        <v>117</v>
      </c>
      <c r="AO40" s="1">
        <f t="shared" si="10"/>
        <v>1.5625E-2</v>
      </c>
      <c r="AP40" s="1">
        <f t="shared" si="11"/>
        <v>9.3750000000000014E-3</v>
      </c>
      <c r="AQ40" s="1">
        <f t="shared" si="11"/>
        <v>1.8749999999999982E-3</v>
      </c>
      <c r="AR40" s="1">
        <f t="shared" si="11"/>
        <v>2.6215277777777782E-3</v>
      </c>
      <c r="AS40" s="1">
        <f t="shared" si="11"/>
        <v>3.8368055555555482E-3</v>
      </c>
    </row>
    <row r="41" spans="1:54" ht="17" customHeight="1">
      <c r="A41" s="8" t="s">
        <v>115</v>
      </c>
      <c r="B41" s="5" t="s">
        <v>81</v>
      </c>
      <c r="C41" s="6">
        <v>0.43611111111111112</v>
      </c>
      <c r="D41" s="7"/>
      <c r="E41" s="9">
        <f t="shared" si="12"/>
        <v>-0.43611111111111112</v>
      </c>
      <c r="H41" s="2" t="s">
        <v>98</v>
      </c>
      <c r="I41" s="2" t="s">
        <v>83</v>
      </c>
      <c r="J41" s="3">
        <v>0.58819444444444446</v>
      </c>
      <c r="K41" s="3">
        <v>0.61458333333333337</v>
      </c>
      <c r="L41" s="1">
        <f t="shared" si="13"/>
        <v>2.6388888888888906E-2</v>
      </c>
      <c r="N41" s="19" t="s">
        <v>107</v>
      </c>
      <c r="O41" s="19" t="s">
        <v>81</v>
      </c>
      <c r="P41" s="20">
        <v>0.60833333333333328</v>
      </c>
      <c r="Q41" s="20">
        <v>0.63611111111111107</v>
      </c>
      <c r="R41" s="1">
        <v>2.5000000000000001E-2</v>
      </c>
      <c r="S41" s="1">
        <v>0.67708333333333337</v>
      </c>
      <c r="T41">
        <f t="shared" si="14"/>
        <v>25</v>
      </c>
      <c r="U41">
        <f t="shared" si="15"/>
        <v>47.5</v>
      </c>
      <c r="V41">
        <f t="shared" si="18"/>
        <v>25</v>
      </c>
      <c r="W41">
        <f t="shared" si="19"/>
        <v>23.5</v>
      </c>
      <c r="X41" s="1">
        <v>3.0555555555555551E-2</v>
      </c>
      <c r="Y41" s="1">
        <v>2.5000000000000001E-2</v>
      </c>
      <c r="AA41" s="5" t="s">
        <v>109</v>
      </c>
      <c r="AB41" s="5" t="s">
        <v>83</v>
      </c>
      <c r="AC41" s="6">
        <v>0.6020833333333333</v>
      </c>
      <c r="AD41" s="6">
        <v>0.62777777777777777</v>
      </c>
      <c r="AE41" s="36">
        <f>Table59[[#This Row],[Time Arrived]]-Table59[[#This Row],[Time Left]]</f>
        <v>2.5694444444444464E-2</v>
      </c>
      <c r="AF41" s="1">
        <v>0.63541666666666663</v>
      </c>
      <c r="AG41">
        <f t="shared" si="16"/>
        <v>26</v>
      </c>
      <c r="AH41">
        <f t="shared" si="17"/>
        <v>26.5</v>
      </c>
      <c r="AI41">
        <f t="shared" si="20"/>
        <v>26</v>
      </c>
      <c r="AJ41">
        <f t="shared" si="21"/>
        <v>14.5</v>
      </c>
      <c r="AK41" s="1">
        <v>2.826388888888889E-2</v>
      </c>
      <c r="AL41" s="1">
        <v>2.3125E-2</v>
      </c>
      <c r="AM41" s="1"/>
      <c r="AP41" t="s">
        <v>117</v>
      </c>
      <c r="AQ41" t="s">
        <v>132</v>
      </c>
      <c r="AR41" t="s">
        <v>133</v>
      </c>
    </row>
    <row r="42" spans="1:54" ht="17" customHeight="1">
      <c r="A42" s="8" t="s">
        <v>97</v>
      </c>
      <c r="B42" s="5" t="s">
        <v>81</v>
      </c>
      <c r="C42" s="6">
        <v>0.41875000000000001</v>
      </c>
      <c r="D42" s="6">
        <v>0.46875</v>
      </c>
      <c r="E42" s="9">
        <f t="shared" si="12"/>
        <v>4.9999999999999989E-2</v>
      </c>
      <c r="H42" s="2" t="s">
        <v>103</v>
      </c>
      <c r="I42" s="2" t="s">
        <v>83</v>
      </c>
      <c r="J42" s="3">
        <v>0.59861111111111109</v>
      </c>
      <c r="K42" s="3">
        <v>0.62222222222222223</v>
      </c>
      <c r="L42" s="1">
        <f t="shared" si="13"/>
        <v>2.3611111111111138E-2</v>
      </c>
      <c r="N42" s="5" t="s">
        <v>108</v>
      </c>
      <c r="O42" s="5" t="s">
        <v>81</v>
      </c>
      <c r="P42" s="6">
        <v>0.61388888888888893</v>
      </c>
      <c r="Q42" s="6">
        <v>0.64236111111111116</v>
      </c>
      <c r="R42" s="1">
        <v>2.5624999999999998E-2</v>
      </c>
      <c r="S42" s="1">
        <v>0.67708333333333337</v>
      </c>
      <c r="T42">
        <f t="shared" si="14"/>
        <v>24</v>
      </c>
      <c r="U42">
        <f t="shared" si="15"/>
        <v>41.5</v>
      </c>
      <c r="V42">
        <f t="shared" si="18"/>
        <v>24</v>
      </c>
      <c r="W42">
        <f t="shared" si="19"/>
        <v>20.5</v>
      </c>
      <c r="X42" s="1">
        <v>3.1319444444444441E-2</v>
      </c>
      <c r="Y42" s="1">
        <v>2.5624999999999998E-2</v>
      </c>
      <c r="AA42" s="19" t="s">
        <v>111</v>
      </c>
      <c r="AB42" s="19" t="s">
        <v>83</v>
      </c>
      <c r="AC42" s="20">
        <v>0.60902777777777772</v>
      </c>
      <c r="AD42" s="20">
        <v>0.63124999999999998</v>
      </c>
      <c r="AE42" s="36">
        <f>Table59[[#This Row],[Time Arrived]]-Table59[[#This Row],[Time Left]]</f>
        <v>2.2222222222222254E-2</v>
      </c>
      <c r="AF42" s="1">
        <v>0.63541666666666663</v>
      </c>
      <c r="AG42">
        <f t="shared" si="16"/>
        <v>25</v>
      </c>
      <c r="AH42">
        <f t="shared" si="17"/>
        <v>57</v>
      </c>
      <c r="AI42">
        <f t="shared" si="20"/>
        <v>25</v>
      </c>
      <c r="AJ42">
        <f t="shared" si="21"/>
        <v>27</v>
      </c>
      <c r="AK42" s="36">
        <v>2.4444444444444449E-2</v>
      </c>
      <c r="AL42" s="36">
        <v>0.02</v>
      </c>
      <c r="AM42" s="36"/>
      <c r="AN42" t="s">
        <v>134</v>
      </c>
      <c r="AP42">
        <f>PEARSON(Q2:Q65,R2:R65)</f>
        <v>0.51622433302925408</v>
      </c>
      <c r="AQ42">
        <f>PEARSON(Q2:Q37,R2:R37)</f>
        <v>-7.9848356814712751E-2</v>
      </c>
      <c r="AR42">
        <f>PEARSON(Q38:Q65,R38:R65)</f>
        <v>0.75196579079854264</v>
      </c>
    </row>
    <row r="43" spans="1:54" ht="17" customHeight="1">
      <c r="A43" s="8" t="s">
        <v>94</v>
      </c>
      <c r="B43" s="5" t="s">
        <v>81</v>
      </c>
      <c r="C43" s="6">
        <v>0.44236111111111109</v>
      </c>
      <c r="D43" s="6">
        <v>0.4597222222222222</v>
      </c>
      <c r="E43" s="9">
        <f t="shared" si="12"/>
        <v>1.7361111111111105E-2</v>
      </c>
      <c r="H43" s="2" t="s">
        <v>109</v>
      </c>
      <c r="I43" s="2" t="s">
        <v>83</v>
      </c>
      <c r="J43" s="3">
        <v>0.6020833333333333</v>
      </c>
      <c r="K43" s="3">
        <v>0.62777777777777777</v>
      </c>
      <c r="L43" s="1">
        <f t="shared" si="13"/>
        <v>2.5694444444444464E-2</v>
      </c>
      <c r="N43" s="19" t="s">
        <v>113</v>
      </c>
      <c r="O43" s="19" t="s">
        <v>81</v>
      </c>
      <c r="P43" s="20">
        <v>0.62083333333333335</v>
      </c>
      <c r="Q43" s="20">
        <v>0.64583333333333337</v>
      </c>
      <c r="R43" s="1">
        <v>2.2499999999999999E-2</v>
      </c>
      <c r="S43" s="1">
        <v>0.67708333333333337</v>
      </c>
      <c r="T43">
        <f t="shared" si="14"/>
        <v>23</v>
      </c>
      <c r="U43">
        <f t="shared" si="15"/>
        <v>57.5</v>
      </c>
      <c r="V43">
        <f t="shared" si="18"/>
        <v>23</v>
      </c>
      <c r="W43">
        <f t="shared" si="19"/>
        <v>28</v>
      </c>
      <c r="X43" s="1">
        <v>2.75E-2</v>
      </c>
      <c r="Y43" s="1">
        <v>2.2499999999999999E-2</v>
      </c>
      <c r="AA43" s="5" t="s">
        <v>135</v>
      </c>
      <c r="AB43" s="5" t="s">
        <v>83</v>
      </c>
      <c r="AC43" s="6">
        <v>0.61319444444444449</v>
      </c>
      <c r="AD43" s="6">
        <v>0.63611111111111107</v>
      </c>
      <c r="AE43" s="36">
        <f>Table59[[#This Row],[Time Arrived]]-Table59[[#This Row],[Time Left]]</f>
        <v>2.2916666666666585E-2</v>
      </c>
      <c r="AF43" s="1">
        <v>0.67708333333333337</v>
      </c>
      <c r="AG43">
        <f t="shared" si="16"/>
        <v>24</v>
      </c>
      <c r="AH43">
        <f t="shared" si="17"/>
        <v>56</v>
      </c>
      <c r="AI43">
        <f t="shared" si="20"/>
        <v>24</v>
      </c>
      <c r="AJ43">
        <f t="shared" si="21"/>
        <v>26</v>
      </c>
      <c r="AK43" s="1">
        <v>2.5208333333333329E-2</v>
      </c>
      <c r="AL43" s="1">
        <v>2.0625000000000001E-2</v>
      </c>
      <c r="AM43" s="1"/>
      <c r="AP43">
        <f>PEARSON(S2:S65,R2:R65)</f>
        <v>0.51674256324420909</v>
      </c>
      <c r="AQ43">
        <f>PEARSON(S2:S37,R2:R37)</f>
        <v>-6.8500938472420073E-2</v>
      </c>
      <c r="AR43">
        <f>PEARSON(S38:S65,R38:R65)</f>
        <v>0.74619816386612114</v>
      </c>
    </row>
    <row r="44" spans="1:54" ht="17" customHeight="1">
      <c r="A44" s="8" t="s">
        <v>99</v>
      </c>
      <c r="B44" s="5" t="s">
        <v>81</v>
      </c>
      <c r="C44" s="6">
        <v>0.44861111111111113</v>
      </c>
      <c r="D44" s="6">
        <v>0.47708333333333341</v>
      </c>
      <c r="E44" s="9">
        <f t="shared" si="12"/>
        <v>2.8472222222222288E-2</v>
      </c>
      <c r="H44" s="2" t="s">
        <v>111</v>
      </c>
      <c r="I44" s="2" t="s">
        <v>83</v>
      </c>
      <c r="J44" s="3">
        <v>0.60902777777777772</v>
      </c>
      <c r="K44" s="3">
        <v>0.63124999999999998</v>
      </c>
      <c r="L44" s="1">
        <f t="shared" si="13"/>
        <v>2.2222222222222254E-2</v>
      </c>
      <c r="N44" s="19" t="s">
        <v>82</v>
      </c>
      <c r="O44" s="19" t="s">
        <v>81</v>
      </c>
      <c r="P44" s="20">
        <v>0.62847222222222221</v>
      </c>
      <c r="Q44" s="20">
        <v>0.65625</v>
      </c>
      <c r="R44" s="1">
        <v>2.5000000000000001E-2</v>
      </c>
      <c r="S44" s="1">
        <v>0.67708333333333337</v>
      </c>
      <c r="T44">
        <f t="shared" si="14"/>
        <v>22</v>
      </c>
      <c r="U44">
        <f t="shared" si="15"/>
        <v>47.5</v>
      </c>
      <c r="V44">
        <f t="shared" si="18"/>
        <v>22</v>
      </c>
      <c r="W44">
        <f t="shared" si="19"/>
        <v>23.5</v>
      </c>
      <c r="X44" s="1">
        <v>3.0555555555555551E-2</v>
      </c>
      <c r="Y44" s="1">
        <v>2.5000000000000001E-2</v>
      </c>
      <c r="AA44" s="19" t="s">
        <v>116</v>
      </c>
      <c r="AB44" s="19" t="s">
        <v>83</v>
      </c>
      <c r="AC44" s="20">
        <v>0.61805555555555558</v>
      </c>
      <c r="AD44" s="20">
        <v>0.6430555555555556</v>
      </c>
      <c r="AE44" s="36">
        <f>Table59[[#This Row],[Time Arrived]]-Table59[[#This Row],[Time Left]]</f>
        <v>2.5000000000000022E-2</v>
      </c>
      <c r="AF44" s="1">
        <v>0.67708333333333337</v>
      </c>
      <c r="AG44">
        <f t="shared" si="16"/>
        <v>23</v>
      </c>
      <c r="AH44">
        <f t="shared" si="17"/>
        <v>33.5</v>
      </c>
      <c r="AI44">
        <f t="shared" si="20"/>
        <v>23</v>
      </c>
      <c r="AJ44">
        <f t="shared" si="21"/>
        <v>16</v>
      </c>
      <c r="AK44" s="36">
        <v>2.75E-2</v>
      </c>
      <c r="AL44" s="36">
        <v>2.2499999999999999E-2</v>
      </c>
      <c r="AM44" s="36"/>
      <c r="AN44" t="s">
        <v>136</v>
      </c>
      <c r="AP44">
        <f>PEARSON(AD2:AD66,AE2:AE66)</f>
        <v>7.2916114866721768E-2</v>
      </c>
      <c r="AQ44">
        <f>PEARSON(AD2:AD37,AE2:AE37)</f>
        <v>-0.26936126028001256</v>
      </c>
      <c r="AR44">
        <f>PEARSON(AD38:AD66,AE38:AE66)</f>
        <v>0.51421693310093486</v>
      </c>
    </row>
    <row r="45" spans="1:54" ht="19" customHeight="1">
      <c r="A45" s="8" t="s">
        <v>107</v>
      </c>
      <c r="B45" s="5" t="s">
        <v>81</v>
      </c>
      <c r="C45" s="6">
        <v>0.45</v>
      </c>
      <c r="D45" s="6">
        <v>0.4826388888888889</v>
      </c>
      <c r="E45" s="9">
        <f t="shared" si="12"/>
        <v>3.2638888888888884E-2</v>
      </c>
      <c r="H45" s="2" t="s">
        <v>135</v>
      </c>
      <c r="I45" s="2" t="s">
        <v>83</v>
      </c>
      <c r="J45" s="3">
        <v>0.61319444444444449</v>
      </c>
      <c r="K45" s="3">
        <v>0.63611111111111107</v>
      </c>
      <c r="L45" s="1">
        <f t="shared" si="13"/>
        <v>2.2916666666666585E-2</v>
      </c>
      <c r="N45" s="5" t="s">
        <v>104</v>
      </c>
      <c r="O45" s="5" t="s">
        <v>81</v>
      </c>
      <c r="P45" s="6">
        <v>0.62152777777777779</v>
      </c>
      <c r="Q45" s="6">
        <v>0.65694444444444444</v>
      </c>
      <c r="R45" s="1">
        <v>3.1875000000000001E-2</v>
      </c>
      <c r="S45" s="1">
        <v>0.67708333333333337</v>
      </c>
      <c r="T45">
        <f t="shared" si="14"/>
        <v>21</v>
      </c>
      <c r="U45">
        <f t="shared" si="15"/>
        <v>5</v>
      </c>
      <c r="V45">
        <f t="shared" si="18"/>
        <v>21</v>
      </c>
      <c r="W45">
        <f t="shared" si="19"/>
        <v>5</v>
      </c>
      <c r="X45" s="1">
        <v>3.8958333333333331E-2</v>
      </c>
      <c r="Y45" s="1">
        <v>3.1875000000000001E-2</v>
      </c>
      <c r="AA45" s="5" t="s">
        <v>98</v>
      </c>
      <c r="AB45" s="5" t="s">
        <v>83</v>
      </c>
      <c r="AC45" s="6">
        <v>0.62361111111111112</v>
      </c>
      <c r="AD45" s="6">
        <v>0.65</v>
      </c>
      <c r="AE45" s="36">
        <f>Table59[[#This Row],[Time Arrived]]-Table59[[#This Row],[Time Left]]</f>
        <v>2.6388888888888906E-2</v>
      </c>
      <c r="AF45" s="1">
        <v>0.67708333333333337</v>
      </c>
      <c r="AG45">
        <f t="shared" si="16"/>
        <v>22</v>
      </c>
      <c r="AH45">
        <f t="shared" si="17"/>
        <v>19.5</v>
      </c>
      <c r="AI45">
        <f t="shared" si="20"/>
        <v>22</v>
      </c>
      <c r="AJ45">
        <f t="shared" si="21"/>
        <v>10</v>
      </c>
      <c r="AK45" s="1">
        <v>2.9027777777777781E-2</v>
      </c>
      <c r="AL45" s="1">
        <v>2.375E-2</v>
      </c>
      <c r="AM45" s="1"/>
      <c r="AP45">
        <f>PEARSON(AF2:AF66,AE2:AE66)</f>
        <v>6.9096453659505216E-2</v>
      </c>
      <c r="AQ45">
        <f>PEARSON(AF2:AF37,AE2:AE37)</f>
        <v>-0.28104844451107824</v>
      </c>
      <c r="AR45">
        <f>PEARSON(AF38:AF66,AE38:AE66)</f>
        <v>0.50367431152159392</v>
      </c>
      <c r="AU45" s="38"/>
    </row>
    <row r="46" spans="1:54" ht="17" customHeight="1">
      <c r="A46" s="8" t="s">
        <v>108</v>
      </c>
      <c r="B46" s="5" t="s">
        <v>81</v>
      </c>
      <c r="C46" s="6">
        <v>0.45763888888888887</v>
      </c>
      <c r="D46" s="6">
        <v>0.4861111111111111</v>
      </c>
      <c r="E46" s="9">
        <f t="shared" si="12"/>
        <v>2.8472222222222232E-2</v>
      </c>
      <c r="H46" s="2" t="s">
        <v>116</v>
      </c>
      <c r="I46" s="2" t="s">
        <v>83</v>
      </c>
      <c r="J46" s="3">
        <v>0.61805555555555558</v>
      </c>
      <c r="K46" s="3">
        <v>0.6430555555555556</v>
      </c>
      <c r="L46" s="1">
        <f t="shared" si="13"/>
        <v>2.5000000000000022E-2</v>
      </c>
      <c r="N46" s="5" t="s">
        <v>97</v>
      </c>
      <c r="O46" s="5" t="s">
        <v>81</v>
      </c>
      <c r="P46" s="6">
        <v>0.6333333333333333</v>
      </c>
      <c r="Q46" s="6">
        <v>0.66111111111111109</v>
      </c>
      <c r="R46" s="1">
        <v>2.5000000000000001E-2</v>
      </c>
      <c r="S46" s="1">
        <v>0.67708333333333337</v>
      </c>
      <c r="T46">
        <f t="shared" si="14"/>
        <v>20</v>
      </c>
      <c r="U46">
        <f t="shared" si="15"/>
        <v>47.5</v>
      </c>
      <c r="V46">
        <f t="shared" si="18"/>
        <v>20</v>
      </c>
      <c r="W46">
        <f t="shared" si="19"/>
        <v>23.5</v>
      </c>
      <c r="X46" s="1">
        <v>3.0555555555555551E-2</v>
      </c>
      <c r="Y46" s="1">
        <v>2.5000000000000001E-2</v>
      </c>
      <c r="AA46" s="22" t="s">
        <v>105</v>
      </c>
      <c r="AB46" s="23" t="s">
        <v>83</v>
      </c>
      <c r="AC46" s="24">
        <v>0.62777777777777777</v>
      </c>
      <c r="AD46" s="24">
        <v>0.65138888888888891</v>
      </c>
      <c r="AE46" s="36">
        <f>Table59[[#This Row],[Time Arrived]]-Table59[[#This Row],[Time Left]]</f>
        <v>2.3611111111111138E-2</v>
      </c>
      <c r="AF46" s="1">
        <v>0.67708333333333337</v>
      </c>
      <c r="AG46">
        <f t="shared" si="16"/>
        <v>21</v>
      </c>
      <c r="AH46">
        <f t="shared" si="17"/>
        <v>47</v>
      </c>
      <c r="AI46">
        <f t="shared" si="20"/>
        <v>21</v>
      </c>
      <c r="AJ46">
        <f t="shared" si="21"/>
        <v>22</v>
      </c>
      <c r="AK46" s="36">
        <v>2.5972222222222219E-2</v>
      </c>
      <c r="AL46" s="36">
        <v>2.1250000000000002E-2</v>
      </c>
      <c r="AM46" s="36"/>
    </row>
    <row r="47" spans="1:54" ht="17" customHeight="1">
      <c r="A47" s="8" t="s">
        <v>102</v>
      </c>
      <c r="B47" s="5" t="s">
        <v>81</v>
      </c>
      <c r="C47" s="6">
        <v>0.46180555555555558</v>
      </c>
      <c r="D47" s="7"/>
      <c r="E47" s="9">
        <f t="shared" si="12"/>
        <v>-0.46180555555555558</v>
      </c>
      <c r="H47" s="2" t="s">
        <v>98</v>
      </c>
      <c r="I47" s="2" t="s">
        <v>83</v>
      </c>
      <c r="J47" s="3">
        <v>0.62361111111111112</v>
      </c>
      <c r="K47" s="3">
        <v>0.65</v>
      </c>
      <c r="L47" s="1">
        <f t="shared" si="13"/>
        <v>2.6388888888888906E-2</v>
      </c>
      <c r="N47" s="19" t="s">
        <v>118</v>
      </c>
      <c r="O47" s="19" t="s">
        <v>81</v>
      </c>
      <c r="P47" s="20">
        <v>0.63680555555555551</v>
      </c>
      <c r="Q47" s="20">
        <v>0.66388888888888886</v>
      </c>
      <c r="R47" s="1">
        <v>2.4375000000000001E-2</v>
      </c>
      <c r="S47" s="1">
        <v>0.67708333333333337</v>
      </c>
      <c r="T47">
        <f t="shared" si="14"/>
        <v>19</v>
      </c>
      <c r="U47">
        <f t="shared" si="15"/>
        <v>52.5</v>
      </c>
      <c r="V47">
        <f t="shared" si="18"/>
        <v>19</v>
      </c>
      <c r="W47">
        <f t="shared" si="19"/>
        <v>26.5</v>
      </c>
      <c r="X47" s="1">
        <v>2.9791666666666671E-2</v>
      </c>
      <c r="Y47" s="1">
        <v>2.4375000000000001E-2</v>
      </c>
      <c r="AA47" s="26" t="s">
        <v>103</v>
      </c>
      <c r="AB47" s="27" t="s">
        <v>83</v>
      </c>
      <c r="AC47" s="28">
        <v>0.63263888888888886</v>
      </c>
      <c r="AD47" s="28">
        <v>0.65555555555555556</v>
      </c>
      <c r="AE47" s="36">
        <f>Table59[[#This Row],[Time Arrived]]-Table59[[#This Row],[Time Left]]</f>
        <v>2.2916666666666696E-2</v>
      </c>
      <c r="AF47" s="1">
        <v>0.67708333333333337</v>
      </c>
      <c r="AG47">
        <f t="shared" si="16"/>
        <v>20</v>
      </c>
      <c r="AH47">
        <f t="shared" si="17"/>
        <v>52.5</v>
      </c>
      <c r="AI47">
        <f t="shared" si="20"/>
        <v>20</v>
      </c>
      <c r="AJ47">
        <f t="shared" si="21"/>
        <v>24.5</v>
      </c>
      <c r="AK47" s="1">
        <v>2.5208333333333329E-2</v>
      </c>
      <c r="AL47" s="1">
        <v>2.0625000000000001E-2</v>
      </c>
      <c r="AM47" s="1"/>
    </row>
    <row r="48" spans="1:54" ht="17" customHeight="1">
      <c r="A48" s="8" t="s">
        <v>128</v>
      </c>
      <c r="B48" s="5" t="s">
        <v>81</v>
      </c>
      <c r="C48" s="6">
        <v>0.46805555555555561</v>
      </c>
      <c r="D48" s="6">
        <v>0.49722222222222218</v>
      </c>
      <c r="E48" s="9">
        <f t="shared" si="12"/>
        <v>2.9166666666666563E-2</v>
      </c>
      <c r="H48" s="2" t="s">
        <v>105</v>
      </c>
      <c r="I48" s="2" t="s">
        <v>83</v>
      </c>
      <c r="J48" s="3">
        <v>0.62777777777777777</v>
      </c>
      <c r="K48" s="3">
        <v>0.65138888888888891</v>
      </c>
      <c r="L48" s="1">
        <f t="shared" si="13"/>
        <v>2.3611111111111138E-2</v>
      </c>
      <c r="N48" s="5" t="s">
        <v>99</v>
      </c>
      <c r="O48" s="5" t="s">
        <v>81</v>
      </c>
      <c r="P48" s="6">
        <v>0.64236111111111116</v>
      </c>
      <c r="Q48" s="6">
        <v>0.67083333333333328</v>
      </c>
      <c r="R48" s="1">
        <f>Table48[[#This Row],[Time Arrived]]-Table48[[#This Row],[Time Left]]</f>
        <v>2.8472222222222121E-2</v>
      </c>
      <c r="S48" s="1">
        <v>0.67708333333333337</v>
      </c>
      <c r="T48">
        <f t="shared" si="14"/>
        <v>18</v>
      </c>
      <c r="U48">
        <f t="shared" si="15"/>
        <v>24</v>
      </c>
      <c r="V48">
        <f t="shared" si="18"/>
        <v>18</v>
      </c>
      <c r="W48">
        <f t="shared" si="19"/>
        <v>19</v>
      </c>
      <c r="X48" s="1">
        <v>3.1319444444444441E-2</v>
      </c>
      <c r="Y48" s="1">
        <v>2.5624999999999998E-2</v>
      </c>
      <c r="AA48" s="22" t="s">
        <v>109</v>
      </c>
      <c r="AB48" s="23" t="s">
        <v>83</v>
      </c>
      <c r="AC48" s="24">
        <v>0.6381944444444444</v>
      </c>
      <c r="AD48" s="24">
        <v>0.66249999999999998</v>
      </c>
      <c r="AE48" s="36">
        <f>Table59[[#This Row],[Time Arrived]]-Table59[[#This Row],[Time Left]]</f>
        <v>2.430555555555558E-2</v>
      </c>
      <c r="AF48" s="1">
        <v>0.67708333333333337</v>
      </c>
      <c r="AG48">
        <f t="shared" si="16"/>
        <v>19</v>
      </c>
      <c r="AH48">
        <f t="shared" si="17"/>
        <v>42</v>
      </c>
      <c r="AI48">
        <f t="shared" si="20"/>
        <v>19</v>
      </c>
      <c r="AJ48">
        <f t="shared" si="21"/>
        <v>18.5</v>
      </c>
      <c r="AK48" s="36">
        <v>2.673611111111111E-2</v>
      </c>
      <c r="AL48" s="36">
        <v>2.1874999999999999E-2</v>
      </c>
      <c r="AM48" s="36"/>
      <c r="AN48" t="s">
        <v>137</v>
      </c>
      <c r="AP48">
        <f>CORREL(T2:T65,U2:U65)</f>
        <v>0.47762997732080936</v>
      </c>
      <c r="AQ48">
        <f>CORREL(V2:V37,W2:W37)</f>
        <v>-0.10747344030973706</v>
      </c>
      <c r="AR48">
        <f>CORREL(V38:V65,W38:W65)</f>
        <v>0.68621155504129372</v>
      </c>
    </row>
    <row r="49" spans="1:44" ht="17" customHeight="1">
      <c r="A49" s="8" t="s">
        <v>127</v>
      </c>
      <c r="B49" s="5" t="s">
        <v>81</v>
      </c>
      <c r="C49" s="6">
        <v>0.46250000000000002</v>
      </c>
      <c r="D49" s="6">
        <v>0.49236111111111108</v>
      </c>
      <c r="E49" s="9">
        <f t="shared" si="12"/>
        <v>2.9861111111111061E-2</v>
      </c>
      <c r="H49" s="2" t="s">
        <v>103</v>
      </c>
      <c r="I49" s="2" t="s">
        <v>83</v>
      </c>
      <c r="J49" s="3">
        <v>0.63263888888888886</v>
      </c>
      <c r="K49" s="3">
        <v>0.65555555555555556</v>
      </c>
      <c r="L49" s="1">
        <f t="shared" si="13"/>
        <v>2.2916666666666696E-2</v>
      </c>
      <c r="N49" s="5" t="s">
        <v>107</v>
      </c>
      <c r="O49" s="5" t="s">
        <v>81</v>
      </c>
      <c r="P49" s="6">
        <v>0.6479166666666667</v>
      </c>
      <c r="Q49" s="6">
        <v>0.67708333333333337</v>
      </c>
      <c r="R49" s="1">
        <f>Table48[[#This Row],[Time Arrived]]-Table48[[#This Row],[Time Left]]</f>
        <v>2.9166666666666674E-2</v>
      </c>
      <c r="S49" s="1">
        <v>0.71875</v>
      </c>
      <c r="T49">
        <f t="shared" si="14"/>
        <v>17</v>
      </c>
      <c r="U49">
        <f t="shared" si="15"/>
        <v>20</v>
      </c>
      <c r="V49">
        <f t="shared" si="18"/>
        <v>17</v>
      </c>
      <c r="W49">
        <f t="shared" si="19"/>
        <v>15</v>
      </c>
      <c r="X49" s="1">
        <v>3.2083333333333332E-2</v>
      </c>
      <c r="Y49" s="1">
        <v>2.6249999999999999E-2</v>
      </c>
      <c r="AA49" s="26" t="s">
        <v>111</v>
      </c>
      <c r="AB49" s="27" t="s">
        <v>83</v>
      </c>
      <c r="AC49" s="28">
        <v>0.6430555555555556</v>
      </c>
      <c r="AD49" s="28">
        <v>0.66527777777777775</v>
      </c>
      <c r="AE49" s="36">
        <f>Table59[[#This Row],[Time Arrived]]-Table59[[#This Row],[Time Left]]</f>
        <v>2.2222222222222143E-2</v>
      </c>
      <c r="AF49" s="1">
        <v>0.67708333333333337</v>
      </c>
      <c r="AG49">
        <f t="shared" si="16"/>
        <v>18</v>
      </c>
      <c r="AH49">
        <f t="shared" si="17"/>
        <v>61</v>
      </c>
      <c r="AI49">
        <f t="shared" si="20"/>
        <v>18</v>
      </c>
      <c r="AJ49">
        <f t="shared" si="21"/>
        <v>28</v>
      </c>
      <c r="AK49" s="1">
        <v>2.4444444444444449E-2</v>
      </c>
      <c r="AL49" s="1">
        <v>0.02</v>
      </c>
      <c r="AM49" s="1"/>
      <c r="AN49" t="s">
        <v>138</v>
      </c>
      <c r="AP49">
        <f>CORREL(AG2:AG66,AH2:AH66)</f>
        <v>5.4748583369495021E-2</v>
      </c>
      <c r="AQ49">
        <f>CORREL(AI2:AI37,AJ2:AJ37)</f>
        <v>-0.26595778433328637</v>
      </c>
      <c r="AR49">
        <f>CORREL(AI38:AI66,AJ38:AJ66)</f>
        <v>0.55179439203842817</v>
      </c>
    </row>
    <row r="50" spans="1:44" ht="17" customHeight="1">
      <c r="A50" s="8" t="s">
        <v>97</v>
      </c>
      <c r="B50" s="5" t="s">
        <v>81</v>
      </c>
      <c r="C50" s="6">
        <v>0.47708333333333341</v>
      </c>
      <c r="D50" s="6">
        <v>0.50763888888888886</v>
      </c>
      <c r="E50" s="9">
        <f t="shared" si="12"/>
        <v>3.0555555555555447E-2</v>
      </c>
      <c r="H50" s="2" t="s">
        <v>109</v>
      </c>
      <c r="I50" s="2" t="s">
        <v>83</v>
      </c>
      <c r="J50" s="3">
        <v>0.6381944444444444</v>
      </c>
      <c r="K50" s="3">
        <v>0.66249999999999998</v>
      </c>
      <c r="L50" s="1">
        <f t="shared" si="13"/>
        <v>2.430555555555558E-2</v>
      </c>
      <c r="N50" s="22" t="s">
        <v>108</v>
      </c>
      <c r="O50" s="23" t="s">
        <v>81</v>
      </c>
      <c r="P50" s="24">
        <v>0.65416666666666667</v>
      </c>
      <c r="Q50" s="24">
        <v>0.68263888888888891</v>
      </c>
      <c r="R50" s="1">
        <f>Table48[[#This Row],[Time Arrived]]-Table48[[#This Row],[Time Left]]</f>
        <v>2.8472222222222232E-2</v>
      </c>
      <c r="S50" s="1">
        <v>0.71875</v>
      </c>
      <c r="T50">
        <f t="shared" si="14"/>
        <v>16</v>
      </c>
      <c r="U50">
        <f t="shared" si="15"/>
        <v>22.5</v>
      </c>
      <c r="V50">
        <f t="shared" si="18"/>
        <v>16</v>
      </c>
      <c r="W50">
        <f t="shared" si="19"/>
        <v>17.5</v>
      </c>
      <c r="X50" s="1">
        <v>3.1319444444444441E-2</v>
      </c>
      <c r="Y50" s="1">
        <v>2.5624999999999998E-2</v>
      </c>
      <c r="AA50" s="22" t="s">
        <v>114</v>
      </c>
      <c r="AB50" s="23" t="s">
        <v>83</v>
      </c>
      <c r="AC50" s="24">
        <v>0.6479166666666667</v>
      </c>
      <c r="AD50" s="24">
        <v>0.66874999999999996</v>
      </c>
      <c r="AE50" s="36">
        <f>Table59[[#This Row],[Time Arrived]]-Table59[[#This Row],[Time Left]]</f>
        <v>2.0833333333333259E-2</v>
      </c>
      <c r="AF50" s="1">
        <v>0.67708333333333337</v>
      </c>
      <c r="AG50">
        <f t="shared" si="16"/>
        <v>17</v>
      </c>
      <c r="AH50">
        <f t="shared" si="17"/>
        <v>64</v>
      </c>
      <c r="AI50">
        <f t="shared" si="20"/>
        <v>17</v>
      </c>
      <c r="AJ50">
        <f t="shared" si="21"/>
        <v>29</v>
      </c>
      <c r="AK50" s="36">
        <v>2.2916666666666669E-2</v>
      </c>
      <c r="AL50" s="36">
        <v>1.8749999999999999E-2</v>
      </c>
      <c r="AM50" s="36"/>
    </row>
    <row r="51" spans="1:44" ht="17" customHeight="1">
      <c r="A51" s="8" t="s">
        <v>94</v>
      </c>
      <c r="B51" s="5" t="s">
        <v>81</v>
      </c>
      <c r="C51" s="6">
        <v>0.48125000000000001</v>
      </c>
      <c r="D51" s="6">
        <v>0.50972222222222219</v>
      </c>
      <c r="E51" s="9">
        <f t="shared" si="12"/>
        <v>2.8472222222222177E-2</v>
      </c>
      <c r="H51" s="2" t="s">
        <v>111</v>
      </c>
      <c r="I51" s="2" t="s">
        <v>83</v>
      </c>
      <c r="J51" s="3">
        <v>0.6430555555555556</v>
      </c>
      <c r="K51" s="3">
        <v>0.66527777777777775</v>
      </c>
      <c r="L51" s="1">
        <f t="shared" si="13"/>
        <v>2.2222222222222143E-2</v>
      </c>
      <c r="N51" s="26" t="s">
        <v>113</v>
      </c>
      <c r="O51" s="27" t="s">
        <v>81</v>
      </c>
      <c r="P51" s="28">
        <v>0.65763888888888888</v>
      </c>
      <c r="Q51" s="28">
        <v>0.68888888888888888</v>
      </c>
      <c r="R51" s="1">
        <f>Table48[[#This Row],[Time Arrived]]-Table48[[#This Row],[Time Left]]</f>
        <v>3.125E-2</v>
      </c>
      <c r="S51" s="1">
        <v>0.71875</v>
      </c>
      <c r="T51">
        <f t="shared" si="14"/>
        <v>15</v>
      </c>
      <c r="U51">
        <f t="shared" si="15"/>
        <v>8.5</v>
      </c>
      <c r="V51">
        <f t="shared" si="18"/>
        <v>15</v>
      </c>
      <c r="W51">
        <f t="shared" si="19"/>
        <v>8</v>
      </c>
      <c r="X51" s="1">
        <v>3.4375000000000003E-2</v>
      </c>
      <c r="Y51" s="1">
        <v>2.8125000000000001E-2</v>
      </c>
      <c r="AA51" s="26" t="s">
        <v>116</v>
      </c>
      <c r="AB51" s="27" t="s">
        <v>83</v>
      </c>
      <c r="AC51" s="28">
        <v>0.65277777777777779</v>
      </c>
      <c r="AD51" s="28">
        <v>0.67708333333333337</v>
      </c>
      <c r="AE51" s="36">
        <f>Table59[[#This Row],[Time Arrived]]-Table59[[#This Row],[Time Left]]</f>
        <v>2.430555555555558E-2</v>
      </c>
      <c r="AF51" s="1">
        <v>0.71875</v>
      </c>
      <c r="AG51">
        <f t="shared" si="16"/>
        <v>16</v>
      </c>
      <c r="AH51">
        <f t="shared" si="17"/>
        <v>42</v>
      </c>
      <c r="AI51">
        <f t="shared" si="20"/>
        <v>16</v>
      </c>
      <c r="AJ51">
        <f t="shared" si="21"/>
        <v>18.5</v>
      </c>
      <c r="AK51" s="1">
        <v>2.673611111111111E-2</v>
      </c>
      <c r="AL51" s="1">
        <v>2.1874999999999999E-2</v>
      </c>
      <c r="AM51" s="1"/>
    </row>
    <row r="52" spans="1:44" ht="17" customHeight="1">
      <c r="A52" s="8" t="s">
        <v>99</v>
      </c>
      <c r="B52" s="5" t="s">
        <v>81</v>
      </c>
      <c r="C52" s="6">
        <v>0.48680555555555549</v>
      </c>
      <c r="D52" s="7"/>
      <c r="E52" s="9">
        <f t="shared" si="12"/>
        <v>-0.48680555555555549</v>
      </c>
      <c r="H52" s="2" t="s">
        <v>114</v>
      </c>
      <c r="I52" s="2" t="s">
        <v>83</v>
      </c>
      <c r="J52" s="3">
        <v>0.6479166666666667</v>
      </c>
      <c r="K52" s="3">
        <v>0.66874999999999996</v>
      </c>
      <c r="L52" s="1">
        <f t="shared" si="13"/>
        <v>2.0833333333333259E-2</v>
      </c>
      <c r="N52" s="26" t="s">
        <v>104</v>
      </c>
      <c r="O52" s="27" t="s">
        <v>81</v>
      </c>
      <c r="P52" s="28">
        <v>0.66041666666666665</v>
      </c>
      <c r="Q52" s="28">
        <v>0.69374999999999998</v>
      </c>
      <c r="R52" s="1">
        <f>Table48[[#This Row],[Time Arrived]]-Table48[[#This Row],[Time Left]]</f>
        <v>3.3333333333333326E-2</v>
      </c>
      <c r="S52" s="1">
        <v>0.71875</v>
      </c>
      <c r="T52">
        <f t="shared" si="14"/>
        <v>14</v>
      </c>
      <c r="U52">
        <f t="shared" si="15"/>
        <v>1</v>
      </c>
      <c r="V52">
        <f t="shared" si="18"/>
        <v>14</v>
      </c>
      <c r="W52">
        <f t="shared" si="19"/>
        <v>1</v>
      </c>
      <c r="X52" s="1">
        <v>3.6666666666666667E-2</v>
      </c>
      <c r="Y52" s="1">
        <v>0.03</v>
      </c>
      <c r="AA52" s="22" t="s">
        <v>98</v>
      </c>
      <c r="AB52" s="23" t="s">
        <v>83</v>
      </c>
      <c r="AC52" s="24">
        <v>0.65902777777777777</v>
      </c>
      <c r="AD52" s="24">
        <v>0.68333333333333335</v>
      </c>
      <c r="AE52" s="36">
        <f>Table59[[#This Row],[Time Arrived]]-Table59[[#This Row],[Time Left]]</f>
        <v>2.430555555555558E-2</v>
      </c>
      <c r="AF52" s="1">
        <v>0.71875</v>
      </c>
      <c r="AG52">
        <f t="shared" si="16"/>
        <v>15</v>
      </c>
      <c r="AH52">
        <f t="shared" si="17"/>
        <v>42</v>
      </c>
      <c r="AI52">
        <f t="shared" si="20"/>
        <v>15</v>
      </c>
      <c r="AJ52">
        <f t="shared" si="21"/>
        <v>18.5</v>
      </c>
      <c r="AK52" s="36">
        <v>2.673611111111111E-2</v>
      </c>
      <c r="AL52" s="36">
        <v>2.1874999999999999E-2</v>
      </c>
      <c r="AM52" s="36"/>
    </row>
    <row r="53" spans="1:44" ht="17" customHeight="1">
      <c r="A53" s="8" t="s">
        <v>107</v>
      </c>
      <c r="B53" s="5" t="s">
        <v>81</v>
      </c>
      <c r="C53" s="6">
        <v>0.49236111111111108</v>
      </c>
      <c r="D53" s="7"/>
      <c r="E53" s="9">
        <f t="shared" si="12"/>
        <v>-0.49236111111111108</v>
      </c>
      <c r="H53" s="2" t="s">
        <v>116</v>
      </c>
      <c r="I53" s="2" t="s">
        <v>83</v>
      </c>
      <c r="J53" s="3">
        <v>0.65277777777777779</v>
      </c>
      <c r="K53" s="3">
        <v>0.67708333333333337</v>
      </c>
      <c r="L53" s="1">
        <f t="shared" si="13"/>
        <v>2.430555555555558E-2</v>
      </c>
      <c r="N53" s="22" t="s">
        <v>82</v>
      </c>
      <c r="O53" s="23" t="s">
        <v>81</v>
      </c>
      <c r="P53" s="24">
        <v>0.66736111111111107</v>
      </c>
      <c r="Q53" s="24">
        <v>0.6958333333333333</v>
      </c>
      <c r="R53" s="1">
        <f>Table48[[#This Row],[Time Arrived]]-Table48[[#This Row],[Time Left]]</f>
        <v>2.8472222222222232E-2</v>
      </c>
      <c r="S53" s="1">
        <v>0.71875</v>
      </c>
      <c r="T53">
        <f t="shared" si="14"/>
        <v>13</v>
      </c>
      <c r="U53">
        <f t="shared" si="15"/>
        <v>22.5</v>
      </c>
      <c r="V53">
        <f t="shared" si="18"/>
        <v>13</v>
      </c>
      <c r="W53">
        <f t="shared" si="19"/>
        <v>17.5</v>
      </c>
      <c r="X53" s="1">
        <v>3.1319444444444441E-2</v>
      </c>
      <c r="Y53" s="1">
        <v>2.5624999999999998E-2</v>
      </c>
      <c r="AA53" s="26" t="s">
        <v>139</v>
      </c>
      <c r="AB53" s="27" t="s">
        <v>83</v>
      </c>
      <c r="AC53" s="28">
        <v>0.6645833333333333</v>
      </c>
      <c r="AD53" s="28">
        <v>0.69097222222222221</v>
      </c>
      <c r="AE53" s="36">
        <f>Table59[[#This Row],[Time Arrived]]-Table59[[#This Row],[Time Left]]</f>
        <v>2.6388888888888906E-2</v>
      </c>
      <c r="AF53" s="1">
        <v>0.71875</v>
      </c>
      <c r="AG53">
        <f t="shared" si="16"/>
        <v>14</v>
      </c>
      <c r="AH53">
        <f t="shared" si="17"/>
        <v>19.5</v>
      </c>
      <c r="AI53">
        <f t="shared" si="20"/>
        <v>14</v>
      </c>
      <c r="AJ53">
        <f t="shared" si="21"/>
        <v>10</v>
      </c>
      <c r="AK53" s="1">
        <v>2.9027777777777781E-2</v>
      </c>
      <c r="AL53" s="1">
        <v>2.375E-2</v>
      </c>
      <c r="AM53" s="1"/>
    </row>
    <row r="54" spans="1:44" ht="17" customHeight="1">
      <c r="A54" s="8" t="s">
        <v>108</v>
      </c>
      <c r="B54" s="5" t="s">
        <v>81</v>
      </c>
      <c r="C54" s="6">
        <v>0.49652777777777779</v>
      </c>
      <c r="D54" s="7"/>
      <c r="E54" s="9">
        <f t="shared" si="12"/>
        <v>-0.49652777777777779</v>
      </c>
      <c r="H54" s="2" t="s">
        <v>98</v>
      </c>
      <c r="I54" s="2" t="s">
        <v>83</v>
      </c>
      <c r="J54" s="3">
        <v>0.65902777777777777</v>
      </c>
      <c r="K54" s="3">
        <v>0.68333333333333335</v>
      </c>
      <c r="L54" s="1">
        <f t="shared" si="13"/>
        <v>2.430555555555558E-2</v>
      </c>
      <c r="N54" s="22" t="s">
        <v>97</v>
      </c>
      <c r="O54" s="23" t="s">
        <v>81</v>
      </c>
      <c r="P54" s="24">
        <v>0.67152777777777772</v>
      </c>
      <c r="Q54" s="24">
        <v>0.70277777777777772</v>
      </c>
      <c r="R54" s="1">
        <f>Table48[[#This Row],[Time Arrived]]-Table48[[#This Row],[Time Left]]</f>
        <v>3.125E-2</v>
      </c>
      <c r="S54" s="1">
        <v>0.71875</v>
      </c>
      <c r="T54">
        <f t="shared" si="14"/>
        <v>12</v>
      </c>
      <c r="U54">
        <f t="shared" si="15"/>
        <v>8.5</v>
      </c>
      <c r="V54">
        <f t="shared" si="18"/>
        <v>12</v>
      </c>
      <c r="W54">
        <f t="shared" si="19"/>
        <v>8</v>
      </c>
      <c r="X54" s="1">
        <v>3.4375000000000003E-2</v>
      </c>
      <c r="Y54" s="1">
        <v>2.8125000000000001E-2</v>
      </c>
      <c r="AA54" s="22" t="s">
        <v>103</v>
      </c>
      <c r="AB54" s="23" t="s">
        <v>83</v>
      </c>
      <c r="AC54" s="24">
        <v>0.66736111111111107</v>
      </c>
      <c r="AD54" s="24">
        <v>0.69166666666666665</v>
      </c>
      <c r="AE54" s="36">
        <f>Table59[[#This Row],[Time Arrived]]-Table59[[#This Row],[Time Left]]</f>
        <v>2.430555555555558E-2</v>
      </c>
      <c r="AF54" s="1">
        <v>0.71875</v>
      </c>
      <c r="AG54">
        <f t="shared" si="16"/>
        <v>13</v>
      </c>
      <c r="AH54">
        <f t="shared" si="17"/>
        <v>42</v>
      </c>
      <c r="AI54">
        <f t="shared" si="20"/>
        <v>13</v>
      </c>
      <c r="AJ54">
        <f t="shared" si="21"/>
        <v>18.5</v>
      </c>
      <c r="AK54" s="36">
        <v>2.673611111111111E-2</v>
      </c>
      <c r="AL54" s="36">
        <v>2.1874999999999999E-2</v>
      </c>
      <c r="AM54" s="36"/>
    </row>
    <row r="55" spans="1:44" ht="17" customHeight="1">
      <c r="A55" s="8" t="s">
        <v>127</v>
      </c>
      <c r="B55" s="5" t="s">
        <v>81</v>
      </c>
      <c r="C55" s="6">
        <v>0.50138888888888888</v>
      </c>
      <c r="D55" s="7"/>
      <c r="E55" s="9">
        <f t="shared" si="12"/>
        <v>-0.50138888888888888</v>
      </c>
      <c r="H55" s="2" t="s">
        <v>139</v>
      </c>
      <c r="I55" s="2" t="s">
        <v>83</v>
      </c>
      <c r="J55" s="3">
        <v>0.6645833333333333</v>
      </c>
      <c r="K55" s="3">
        <v>0.69097222222222221</v>
      </c>
      <c r="L55" s="1">
        <f t="shared" si="13"/>
        <v>2.6388888888888906E-2</v>
      </c>
      <c r="N55" s="26" t="s">
        <v>94</v>
      </c>
      <c r="O55" s="27" t="s">
        <v>81</v>
      </c>
      <c r="P55" s="28">
        <v>0.67708333333333337</v>
      </c>
      <c r="Q55" s="28">
        <v>0.70625000000000004</v>
      </c>
      <c r="R55" s="1">
        <f>Table48[[#This Row],[Time Arrived]]-Table48[[#This Row],[Time Left]]</f>
        <v>2.9166666666666674E-2</v>
      </c>
      <c r="S55" s="1">
        <v>0.71875</v>
      </c>
      <c r="T55">
        <f t="shared" si="14"/>
        <v>11</v>
      </c>
      <c r="U55">
        <f t="shared" si="15"/>
        <v>20</v>
      </c>
      <c r="V55">
        <f t="shared" si="18"/>
        <v>11</v>
      </c>
      <c r="W55">
        <f t="shared" si="19"/>
        <v>15</v>
      </c>
      <c r="X55" s="1">
        <v>3.2083333333333332E-2</v>
      </c>
      <c r="Y55" s="1">
        <v>2.6249999999999999E-2</v>
      </c>
      <c r="AA55" s="26" t="s">
        <v>109</v>
      </c>
      <c r="AB55" s="27" t="s">
        <v>83</v>
      </c>
      <c r="AC55" s="28">
        <v>0.67291666666666672</v>
      </c>
      <c r="AD55" s="28">
        <v>0.70416666666666672</v>
      </c>
      <c r="AE55" s="36">
        <f>Table59[[#This Row],[Time Arrived]]-Table59[[#This Row],[Time Left]]</f>
        <v>3.125E-2</v>
      </c>
      <c r="AF55" s="1">
        <v>0.71875</v>
      </c>
      <c r="AG55">
        <f t="shared" si="16"/>
        <v>11.5</v>
      </c>
      <c r="AH55">
        <f t="shared" si="17"/>
        <v>1</v>
      </c>
      <c r="AI55">
        <f t="shared" si="20"/>
        <v>11.5</v>
      </c>
      <c r="AJ55">
        <f t="shared" si="21"/>
        <v>1</v>
      </c>
      <c r="AK55" s="1">
        <v>3.4375000000000003E-2</v>
      </c>
      <c r="AL55" s="1">
        <v>2.8125000000000001E-2</v>
      </c>
      <c r="AM55" s="1"/>
    </row>
    <row r="56" spans="1:44" ht="17" customHeight="1">
      <c r="A56" s="8" t="s">
        <v>104</v>
      </c>
      <c r="B56" s="5" t="s">
        <v>81</v>
      </c>
      <c r="C56" s="6">
        <v>0.50624999999999998</v>
      </c>
      <c r="D56" s="7"/>
      <c r="E56" s="9">
        <f t="shared" si="12"/>
        <v>-0.50624999999999998</v>
      </c>
      <c r="H56" s="2" t="s">
        <v>103</v>
      </c>
      <c r="I56" s="2" t="s">
        <v>83</v>
      </c>
      <c r="J56" s="3">
        <v>0.66736111111111107</v>
      </c>
      <c r="K56" s="3">
        <v>0.69166666666666665</v>
      </c>
      <c r="L56" s="1">
        <f t="shared" si="13"/>
        <v>2.430555555555558E-2</v>
      </c>
      <c r="N56" s="22" t="s">
        <v>99</v>
      </c>
      <c r="O56" s="23" t="s">
        <v>81</v>
      </c>
      <c r="P56" s="24">
        <v>0.68125000000000002</v>
      </c>
      <c r="Q56" s="24">
        <v>0.71388888888888891</v>
      </c>
      <c r="R56" s="1">
        <f>Table48[[#This Row],[Time Arrived]]-Table48[[#This Row],[Time Left]]</f>
        <v>3.2638888888888884E-2</v>
      </c>
      <c r="S56" s="1">
        <v>0.71875</v>
      </c>
      <c r="T56">
        <f t="shared" si="14"/>
        <v>10</v>
      </c>
      <c r="U56">
        <f t="shared" si="15"/>
        <v>2.5</v>
      </c>
      <c r="V56">
        <f t="shared" si="18"/>
        <v>10</v>
      </c>
      <c r="W56">
        <f t="shared" si="19"/>
        <v>2.5</v>
      </c>
      <c r="X56" s="1">
        <v>3.5902777777777783E-2</v>
      </c>
      <c r="Y56" s="1">
        <v>2.9374999999999998E-2</v>
      </c>
      <c r="AA56" s="22" t="s">
        <v>111</v>
      </c>
      <c r="AB56" s="23" t="s">
        <v>83</v>
      </c>
      <c r="AC56" s="24">
        <v>0.67708333333333337</v>
      </c>
      <c r="AD56" s="24">
        <v>0.70416666666666672</v>
      </c>
      <c r="AE56" s="36">
        <f>Table59[[#This Row],[Time Arrived]]-Table59[[#This Row],[Time Left]]</f>
        <v>2.7083333333333348E-2</v>
      </c>
      <c r="AF56" s="1">
        <v>0.71875</v>
      </c>
      <c r="AG56">
        <f t="shared" si="16"/>
        <v>11.5</v>
      </c>
      <c r="AH56">
        <f t="shared" si="17"/>
        <v>9.5</v>
      </c>
      <c r="AI56">
        <f t="shared" si="20"/>
        <v>11.5</v>
      </c>
      <c r="AJ56">
        <f t="shared" si="21"/>
        <v>4.5</v>
      </c>
      <c r="AK56" s="36">
        <v>2.9791666666666671E-2</v>
      </c>
      <c r="AL56" s="36">
        <v>2.4375000000000001E-2</v>
      </c>
      <c r="AM56" s="36"/>
    </row>
    <row r="57" spans="1:44" ht="17" customHeight="1">
      <c r="A57" s="8" t="s">
        <v>82</v>
      </c>
      <c r="B57" s="5" t="s">
        <v>81</v>
      </c>
      <c r="C57" s="6">
        <v>0.50972222222222219</v>
      </c>
      <c r="D57" s="7"/>
      <c r="E57" s="9">
        <f t="shared" si="12"/>
        <v>-0.50972222222222219</v>
      </c>
      <c r="H57" s="2" t="s">
        <v>109</v>
      </c>
      <c r="I57" s="2" t="s">
        <v>83</v>
      </c>
      <c r="J57" s="3">
        <v>0.67291666666666672</v>
      </c>
      <c r="K57" s="3">
        <v>0.70416666666666672</v>
      </c>
      <c r="L57" s="1">
        <f t="shared" si="13"/>
        <v>3.125E-2</v>
      </c>
      <c r="N57" s="26" t="s">
        <v>107</v>
      </c>
      <c r="O57" s="27" t="s">
        <v>81</v>
      </c>
      <c r="P57" s="28">
        <v>0.68680555555555556</v>
      </c>
      <c r="Q57" s="28">
        <v>0.71666666666666667</v>
      </c>
      <c r="R57" s="1">
        <f>Table48[[#This Row],[Time Arrived]]-Table48[[#This Row],[Time Left]]</f>
        <v>2.9861111111111116E-2</v>
      </c>
      <c r="S57" s="1">
        <v>0.71875</v>
      </c>
      <c r="T57">
        <f t="shared" si="14"/>
        <v>9</v>
      </c>
      <c r="U57">
        <f t="shared" si="15"/>
        <v>15</v>
      </c>
      <c r="V57">
        <f t="shared" si="18"/>
        <v>9</v>
      </c>
      <c r="W57">
        <f t="shared" si="19"/>
        <v>12.5</v>
      </c>
      <c r="X57" s="1">
        <v>3.2847222222222222E-2</v>
      </c>
      <c r="Y57" s="1">
        <v>2.6875E-2</v>
      </c>
      <c r="AA57" s="26" t="s">
        <v>135</v>
      </c>
      <c r="AB57" s="27" t="s">
        <v>83</v>
      </c>
      <c r="AC57" s="28">
        <v>0.68125000000000002</v>
      </c>
      <c r="AD57" s="28">
        <v>0.70763888888888893</v>
      </c>
      <c r="AE57" s="36">
        <f>Table59[[#This Row],[Time Arrived]]-Table59[[#This Row],[Time Left]]</f>
        <v>2.6388888888888906E-2</v>
      </c>
      <c r="AF57" s="1">
        <v>0.71875</v>
      </c>
      <c r="AG57">
        <f t="shared" si="16"/>
        <v>10</v>
      </c>
      <c r="AH57">
        <f t="shared" si="17"/>
        <v>19.5</v>
      </c>
      <c r="AI57">
        <f t="shared" si="20"/>
        <v>10</v>
      </c>
      <c r="AJ57">
        <f t="shared" si="21"/>
        <v>10</v>
      </c>
      <c r="AK57" s="1">
        <v>2.9027777777777781E-2</v>
      </c>
      <c r="AL57" s="1">
        <v>2.375E-2</v>
      </c>
      <c r="AM57" s="1"/>
    </row>
    <row r="58" spans="1:44" ht="17" customHeight="1">
      <c r="A58" s="8" t="s">
        <v>97</v>
      </c>
      <c r="B58" s="5" t="s">
        <v>81</v>
      </c>
      <c r="C58" s="7"/>
      <c r="D58" s="7"/>
      <c r="E58" s="9">
        <f t="shared" si="12"/>
        <v>0</v>
      </c>
      <c r="H58" s="2" t="s">
        <v>111</v>
      </c>
      <c r="I58" s="2" t="s">
        <v>83</v>
      </c>
      <c r="J58" s="3">
        <v>0.67708333333333337</v>
      </c>
      <c r="K58" s="3">
        <v>0.70416666666666672</v>
      </c>
      <c r="L58" s="1">
        <f t="shared" si="13"/>
        <v>2.7083333333333348E-2</v>
      </c>
      <c r="N58" s="22" t="s">
        <v>120</v>
      </c>
      <c r="O58" s="23" t="s">
        <v>81</v>
      </c>
      <c r="P58" s="24">
        <v>0.69236111111111109</v>
      </c>
      <c r="Q58" s="24">
        <v>0.72499999999999998</v>
      </c>
      <c r="R58" s="1">
        <f>Table48[[#This Row],[Time Arrived]]-Table48[[#This Row],[Time Left]]</f>
        <v>3.2638888888888884E-2</v>
      </c>
      <c r="S58" s="1">
        <v>0.76041666666666663</v>
      </c>
      <c r="T58">
        <f t="shared" si="14"/>
        <v>8</v>
      </c>
      <c r="U58">
        <f t="shared" si="15"/>
        <v>2.5</v>
      </c>
      <c r="V58">
        <f t="shared" si="18"/>
        <v>8</v>
      </c>
      <c r="W58">
        <f t="shared" si="19"/>
        <v>2.5</v>
      </c>
      <c r="X58" s="1">
        <v>3.5902777777777783E-2</v>
      </c>
      <c r="Y58" s="1">
        <v>2.9374999999999998E-2</v>
      </c>
      <c r="AA58" s="22" t="s">
        <v>116</v>
      </c>
      <c r="AB58" s="23" t="s">
        <v>83</v>
      </c>
      <c r="AC58" s="24">
        <v>0.68680555555555556</v>
      </c>
      <c r="AD58" s="24">
        <v>0.71388888888888891</v>
      </c>
      <c r="AE58" s="36">
        <f>Table59[[#This Row],[Time Arrived]]-Table59[[#This Row],[Time Left]]</f>
        <v>2.7083333333333348E-2</v>
      </c>
      <c r="AF58" s="1">
        <v>0.71875</v>
      </c>
      <c r="AG58">
        <f t="shared" si="16"/>
        <v>9</v>
      </c>
      <c r="AH58">
        <f t="shared" si="17"/>
        <v>9.5</v>
      </c>
      <c r="AI58">
        <f t="shared" si="20"/>
        <v>9</v>
      </c>
      <c r="AJ58">
        <f t="shared" si="21"/>
        <v>4.5</v>
      </c>
      <c r="AK58" s="36">
        <v>2.9791666666666671E-2</v>
      </c>
      <c r="AL58" s="36">
        <v>2.4375000000000001E-2</v>
      </c>
      <c r="AM58" s="36"/>
    </row>
    <row r="59" spans="1:44" ht="17" customHeight="1">
      <c r="A59" s="8" t="s">
        <v>94</v>
      </c>
      <c r="B59" s="5" t="s">
        <v>81</v>
      </c>
      <c r="C59" s="7"/>
      <c r="D59" s="7"/>
      <c r="E59" s="9">
        <f t="shared" si="12"/>
        <v>0</v>
      </c>
      <c r="H59" s="2" t="s">
        <v>135</v>
      </c>
      <c r="I59" s="2" t="s">
        <v>83</v>
      </c>
      <c r="J59" s="3">
        <v>0.68125000000000002</v>
      </c>
      <c r="K59" s="3">
        <v>0.70763888888888893</v>
      </c>
      <c r="L59" s="1">
        <f t="shared" si="13"/>
        <v>2.6388888888888906E-2</v>
      </c>
      <c r="N59" s="26" t="s">
        <v>113</v>
      </c>
      <c r="O59" s="27" t="s">
        <v>81</v>
      </c>
      <c r="P59" s="28">
        <v>0.69722222222222219</v>
      </c>
      <c r="Q59" s="28">
        <v>0.72916666666666663</v>
      </c>
      <c r="R59" s="1">
        <f>Table48[[#This Row],[Time Arrived]]-Table48[[#This Row],[Time Left]]</f>
        <v>3.1944444444444442E-2</v>
      </c>
      <c r="S59" s="1">
        <v>0.76041666666666663</v>
      </c>
      <c r="T59">
        <f t="shared" si="14"/>
        <v>7</v>
      </c>
      <c r="U59">
        <f t="shared" si="15"/>
        <v>4</v>
      </c>
      <c r="V59">
        <f t="shared" si="18"/>
        <v>7</v>
      </c>
      <c r="W59">
        <f t="shared" si="19"/>
        <v>4</v>
      </c>
      <c r="X59" s="1">
        <v>3.5138888888888893E-2</v>
      </c>
      <c r="Y59" s="1">
        <v>2.8750000000000001E-2</v>
      </c>
      <c r="AA59" s="22" t="s">
        <v>105</v>
      </c>
      <c r="AB59" s="23" t="s">
        <v>83</v>
      </c>
      <c r="AC59" s="24">
        <v>0.69722222222222219</v>
      </c>
      <c r="AD59" s="24">
        <v>0.72361111111111109</v>
      </c>
      <c r="AE59" s="36">
        <f>Table59[[#This Row],[Time Arrived]]-Table59[[#This Row],[Time Left]]</f>
        <v>2.6388888888888906E-2</v>
      </c>
      <c r="AF59" s="36">
        <v>0.76041666666666663</v>
      </c>
      <c r="AG59" s="39">
        <f t="shared" si="16"/>
        <v>8</v>
      </c>
      <c r="AH59" s="39">
        <f t="shared" si="17"/>
        <v>19.5</v>
      </c>
      <c r="AI59">
        <f t="shared" si="20"/>
        <v>8</v>
      </c>
      <c r="AJ59">
        <f t="shared" si="21"/>
        <v>10</v>
      </c>
      <c r="AK59" s="36">
        <v>2.9027777777777781E-2</v>
      </c>
      <c r="AL59" s="36">
        <v>2.375E-2</v>
      </c>
      <c r="AM59" s="36"/>
    </row>
    <row r="60" spans="1:44" ht="17" customHeight="1">
      <c r="A60" s="8" t="s">
        <v>82</v>
      </c>
      <c r="B60" s="5" t="s">
        <v>83</v>
      </c>
      <c r="C60" s="6">
        <v>0.35138888888888892</v>
      </c>
      <c r="D60" s="6">
        <v>0.37847222222222221</v>
      </c>
      <c r="E60" s="9">
        <f t="shared" si="12"/>
        <v>2.7083333333333293E-2</v>
      </c>
      <c r="H60" s="2" t="s">
        <v>116</v>
      </c>
      <c r="I60" s="2" t="s">
        <v>83</v>
      </c>
      <c r="J60" s="3">
        <v>0.68680555555555556</v>
      </c>
      <c r="K60" s="3">
        <v>0.71388888888888891</v>
      </c>
      <c r="L60" s="1">
        <f t="shared" si="13"/>
        <v>2.7083333333333348E-2</v>
      </c>
      <c r="N60" s="22" t="s">
        <v>104</v>
      </c>
      <c r="O60" s="23" t="s">
        <v>81</v>
      </c>
      <c r="P60" s="24">
        <v>0.70208333333333328</v>
      </c>
      <c r="Q60" s="24">
        <v>0.73263888888888884</v>
      </c>
      <c r="R60" s="1">
        <f>Table48[[#This Row],[Time Arrived]]-Table48[[#This Row],[Time Left]]</f>
        <v>3.0555555555555558E-2</v>
      </c>
      <c r="S60" s="1">
        <v>0.76041666666666663</v>
      </c>
      <c r="T60">
        <f t="shared" si="14"/>
        <v>6</v>
      </c>
      <c r="U60">
        <f t="shared" si="15"/>
        <v>12</v>
      </c>
      <c r="V60">
        <f t="shared" si="18"/>
        <v>6</v>
      </c>
      <c r="W60">
        <f t="shared" si="19"/>
        <v>11</v>
      </c>
      <c r="X60" s="1">
        <v>3.3611111111111112E-2</v>
      </c>
      <c r="Y60" s="1">
        <v>2.75E-2</v>
      </c>
      <c r="AA60" s="26" t="s">
        <v>103</v>
      </c>
      <c r="AB60" s="27" t="s">
        <v>83</v>
      </c>
      <c r="AC60" s="28">
        <v>0.7006944444444444</v>
      </c>
      <c r="AD60" s="28">
        <v>0.72916666666666663</v>
      </c>
      <c r="AE60" s="36">
        <f>Table59[[#This Row],[Time Arrived]]-Table59[[#This Row],[Time Left]]</f>
        <v>2.8472222222222232E-2</v>
      </c>
      <c r="AF60" s="36">
        <v>0.76041666666666663</v>
      </c>
      <c r="AG60" s="39">
        <f t="shared" si="16"/>
        <v>7</v>
      </c>
      <c r="AH60" s="39">
        <f t="shared" si="17"/>
        <v>2.5</v>
      </c>
      <c r="AI60">
        <f t="shared" si="20"/>
        <v>7</v>
      </c>
      <c r="AJ60">
        <f t="shared" si="21"/>
        <v>2</v>
      </c>
      <c r="AK60" s="1">
        <v>3.1319444444444441E-2</v>
      </c>
      <c r="AL60" s="1">
        <v>2.5624999999999998E-2</v>
      </c>
      <c r="AM60" s="1"/>
    </row>
    <row r="61" spans="1:44" ht="17" customHeight="1">
      <c r="A61" s="8" t="s">
        <v>95</v>
      </c>
      <c r="B61" s="5" t="s">
        <v>83</v>
      </c>
      <c r="C61" s="6">
        <v>0.35486111111111113</v>
      </c>
      <c r="D61" s="6">
        <v>0.38055555555555548</v>
      </c>
      <c r="E61" s="9">
        <f t="shared" si="12"/>
        <v>2.5694444444444353E-2</v>
      </c>
      <c r="H61" s="2" t="s">
        <v>98</v>
      </c>
      <c r="I61" s="2" t="s">
        <v>83</v>
      </c>
      <c r="J61" s="3">
        <v>0.69097222222222221</v>
      </c>
      <c r="K61" s="4"/>
      <c r="L61" s="1">
        <f t="shared" si="13"/>
        <v>-0.69097222222222221</v>
      </c>
      <c r="N61" s="26" t="s">
        <v>82</v>
      </c>
      <c r="O61" s="27" t="s">
        <v>81</v>
      </c>
      <c r="P61" s="28">
        <v>0.70763888888888893</v>
      </c>
      <c r="Q61" s="28">
        <v>0.73750000000000004</v>
      </c>
      <c r="R61" s="1">
        <f>Table48[[#This Row],[Time Arrived]]-Table48[[#This Row],[Time Left]]</f>
        <v>2.9861111111111116E-2</v>
      </c>
      <c r="S61" s="1">
        <v>0.76041666666666663</v>
      </c>
      <c r="T61">
        <f t="shared" si="14"/>
        <v>5</v>
      </c>
      <c r="U61">
        <f t="shared" si="15"/>
        <v>15</v>
      </c>
      <c r="V61">
        <f t="shared" si="18"/>
        <v>5</v>
      </c>
      <c r="W61">
        <f t="shared" si="19"/>
        <v>12.5</v>
      </c>
      <c r="X61" s="1">
        <v>3.2847222222222222E-2</v>
      </c>
      <c r="Y61" s="1">
        <v>2.6875E-2</v>
      </c>
      <c r="AA61" s="22" t="s">
        <v>109</v>
      </c>
      <c r="AB61" s="23" t="s">
        <v>83</v>
      </c>
      <c r="AC61" s="24">
        <v>0.70763888888888893</v>
      </c>
      <c r="AD61" s="24">
        <v>0.73472222222222228</v>
      </c>
      <c r="AE61" s="36">
        <f>Table59[[#This Row],[Time Arrived]]-Table59[[#This Row],[Time Left]]</f>
        <v>2.7083333333333348E-2</v>
      </c>
      <c r="AF61" s="36">
        <v>0.76041666666666663</v>
      </c>
      <c r="AG61" s="39">
        <f t="shared" si="16"/>
        <v>5.5</v>
      </c>
      <c r="AH61" s="39">
        <f t="shared" si="17"/>
        <v>9.5</v>
      </c>
      <c r="AI61">
        <f t="shared" si="20"/>
        <v>5.5</v>
      </c>
      <c r="AJ61">
        <f t="shared" si="21"/>
        <v>4.5</v>
      </c>
      <c r="AK61" s="36">
        <v>2.9791666666666671E-2</v>
      </c>
      <c r="AL61" s="36">
        <v>2.4375000000000001E-2</v>
      </c>
      <c r="AM61" s="36"/>
    </row>
    <row r="62" spans="1:44" ht="17" customHeight="1">
      <c r="A62" s="8" t="s">
        <v>98</v>
      </c>
      <c r="B62" s="5" t="s">
        <v>83</v>
      </c>
      <c r="C62" s="6">
        <v>0.3576388888888889</v>
      </c>
      <c r="D62" s="6">
        <v>0.38472222222222219</v>
      </c>
      <c r="E62" s="9">
        <f t="shared" si="12"/>
        <v>2.7083333333333293E-2</v>
      </c>
      <c r="H62" s="2" t="s">
        <v>105</v>
      </c>
      <c r="I62" s="2" t="s">
        <v>83</v>
      </c>
      <c r="J62" s="3">
        <v>0.69722222222222219</v>
      </c>
      <c r="K62" s="3">
        <v>0.72361111111111109</v>
      </c>
      <c r="L62" s="1">
        <f t="shared" si="13"/>
        <v>2.6388888888888906E-2</v>
      </c>
      <c r="N62" s="22" t="s">
        <v>97</v>
      </c>
      <c r="O62" s="23" t="s">
        <v>81</v>
      </c>
      <c r="P62" s="24">
        <v>0.71388888888888891</v>
      </c>
      <c r="Q62" s="24">
        <v>0.74513888888888891</v>
      </c>
      <c r="R62" s="1">
        <f>Table48[[#This Row],[Time Arrived]]-Table48[[#This Row],[Time Left]]</f>
        <v>3.125E-2</v>
      </c>
      <c r="S62" s="1">
        <v>0.76041666666666663</v>
      </c>
      <c r="T62">
        <f t="shared" si="14"/>
        <v>4</v>
      </c>
      <c r="U62">
        <f t="shared" si="15"/>
        <v>8.5</v>
      </c>
      <c r="V62">
        <f t="shared" si="18"/>
        <v>4</v>
      </c>
      <c r="W62">
        <f t="shared" si="19"/>
        <v>8</v>
      </c>
      <c r="X62" s="1">
        <v>3.4375000000000003E-2</v>
      </c>
      <c r="Y62" s="1">
        <v>2.8125000000000001E-2</v>
      </c>
      <c r="AA62" s="26" t="s">
        <v>111</v>
      </c>
      <c r="AB62" s="27" t="s">
        <v>83</v>
      </c>
      <c r="AC62" s="28">
        <v>0.71111111111111114</v>
      </c>
      <c r="AD62" s="28">
        <v>0.73472222222222228</v>
      </c>
      <c r="AE62" s="36">
        <f>Table59[[#This Row],[Time Arrived]]-Table59[[#This Row],[Time Left]]</f>
        <v>2.3611111111111138E-2</v>
      </c>
      <c r="AF62" s="36">
        <v>0.76041666666666663</v>
      </c>
      <c r="AG62" s="39">
        <f t="shared" si="16"/>
        <v>5.5</v>
      </c>
      <c r="AH62" s="39">
        <f t="shared" si="17"/>
        <v>47</v>
      </c>
      <c r="AI62">
        <f t="shared" si="20"/>
        <v>5.5</v>
      </c>
      <c r="AJ62">
        <f t="shared" si="21"/>
        <v>22</v>
      </c>
      <c r="AK62" s="1">
        <v>2.5972222222222219E-2</v>
      </c>
      <c r="AL62" s="1">
        <v>2.1250000000000002E-2</v>
      </c>
      <c r="AM62" s="1"/>
    </row>
    <row r="63" spans="1:44" ht="17" customHeight="1">
      <c r="A63" s="8" t="s">
        <v>105</v>
      </c>
      <c r="B63" s="5" t="s">
        <v>83</v>
      </c>
      <c r="C63" s="6">
        <v>0.3611111111111111</v>
      </c>
      <c r="D63" s="6">
        <v>0.38958333333333328</v>
      </c>
      <c r="E63" s="9">
        <f t="shared" si="12"/>
        <v>2.8472222222222177E-2</v>
      </c>
      <c r="H63" s="2" t="s">
        <v>103</v>
      </c>
      <c r="I63" s="2" t="s">
        <v>83</v>
      </c>
      <c r="J63" s="3">
        <v>0.7006944444444444</v>
      </c>
      <c r="K63" s="3">
        <v>0.72916666666666663</v>
      </c>
      <c r="L63" s="1">
        <f t="shared" si="13"/>
        <v>2.8472222222222232E-2</v>
      </c>
      <c r="N63" s="26" t="s">
        <v>94</v>
      </c>
      <c r="O63" s="27" t="s">
        <v>81</v>
      </c>
      <c r="P63" s="28">
        <v>0.71736111111111112</v>
      </c>
      <c r="Q63" s="28">
        <v>0.74652777777777779</v>
      </c>
      <c r="R63" s="1">
        <f>Table48[[#This Row],[Time Arrived]]-Table48[[#This Row],[Time Left]]</f>
        <v>2.9166666666666674E-2</v>
      </c>
      <c r="S63" s="1">
        <v>0.76041666666666663</v>
      </c>
      <c r="T63">
        <f t="shared" si="14"/>
        <v>3</v>
      </c>
      <c r="U63">
        <f t="shared" si="15"/>
        <v>20</v>
      </c>
      <c r="V63">
        <f t="shared" si="18"/>
        <v>3</v>
      </c>
      <c r="W63">
        <f t="shared" si="19"/>
        <v>15</v>
      </c>
      <c r="X63" s="1">
        <v>3.2083333333333332E-2</v>
      </c>
      <c r="Y63" s="1">
        <v>2.6249999999999999E-2</v>
      </c>
      <c r="AA63" s="22" t="s">
        <v>114</v>
      </c>
      <c r="AB63" s="23" t="s">
        <v>83</v>
      </c>
      <c r="AC63" s="24">
        <v>0.71597222222222223</v>
      </c>
      <c r="AD63" s="24">
        <v>0.7416666666666667</v>
      </c>
      <c r="AE63" s="36">
        <f>Table59[[#This Row],[Time Arrived]]-Table59[[#This Row],[Time Left]]</f>
        <v>2.5694444444444464E-2</v>
      </c>
      <c r="AF63" s="36">
        <v>0.76041666666666663</v>
      </c>
      <c r="AG63" s="39">
        <f t="shared" si="16"/>
        <v>4</v>
      </c>
      <c r="AH63" s="39">
        <f t="shared" si="17"/>
        <v>26.5</v>
      </c>
      <c r="AI63">
        <f t="shared" si="20"/>
        <v>4</v>
      </c>
      <c r="AJ63">
        <f t="shared" si="21"/>
        <v>14.5</v>
      </c>
      <c r="AK63" s="36">
        <v>2.826388888888889E-2</v>
      </c>
      <c r="AL63" s="36">
        <v>2.3125E-2</v>
      </c>
      <c r="AM63" s="36"/>
    </row>
    <row r="64" spans="1:44" ht="17" customHeight="1">
      <c r="A64" s="8" t="s">
        <v>100</v>
      </c>
      <c r="B64" s="5" t="s">
        <v>83</v>
      </c>
      <c r="C64" s="6">
        <v>0.36249999999999999</v>
      </c>
      <c r="D64" s="6">
        <v>0.38750000000000001</v>
      </c>
      <c r="E64" s="9">
        <f t="shared" si="12"/>
        <v>2.5000000000000022E-2</v>
      </c>
      <c r="H64" s="2" t="s">
        <v>109</v>
      </c>
      <c r="I64" s="2" t="s">
        <v>83</v>
      </c>
      <c r="J64" s="3">
        <v>0.70763888888888893</v>
      </c>
      <c r="K64" s="3">
        <v>0.73472222222222228</v>
      </c>
      <c r="L64" s="1">
        <f t="shared" si="13"/>
        <v>2.7083333333333348E-2</v>
      </c>
      <c r="N64" s="26" t="s">
        <v>107</v>
      </c>
      <c r="O64" s="27" t="s">
        <v>81</v>
      </c>
      <c r="P64" s="28">
        <v>0.72222222222222221</v>
      </c>
      <c r="Q64" s="28">
        <v>0.75347222222222221</v>
      </c>
      <c r="R64" s="1">
        <f>Table48[[#This Row],[Time Arrived]]-Table48[[#This Row],[Time Left]]</f>
        <v>3.125E-2</v>
      </c>
      <c r="S64" s="1">
        <v>0.76041666666666663</v>
      </c>
      <c r="T64">
        <f t="shared" si="14"/>
        <v>2</v>
      </c>
      <c r="U64">
        <f t="shared" si="15"/>
        <v>8.5</v>
      </c>
      <c r="V64">
        <f t="shared" si="18"/>
        <v>2</v>
      </c>
      <c r="W64">
        <f t="shared" si="19"/>
        <v>8</v>
      </c>
      <c r="X64" s="1">
        <v>3.4375000000000003E-2</v>
      </c>
      <c r="Y64" s="1">
        <v>2.8125000000000001E-2</v>
      </c>
      <c r="AA64" s="26" t="s">
        <v>116</v>
      </c>
      <c r="AB64" s="27" t="s">
        <v>83</v>
      </c>
      <c r="AC64" s="28">
        <v>0.72222222222222221</v>
      </c>
      <c r="AD64" s="28">
        <v>0.74930555555555556</v>
      </c>
      <c r="AE64" s="36">
        <f>Table59[[#This Row],[Time Arrived]]-Table59[[#This Row],[Time Left]]</f>
        <v>2.7083333333333348E-2</v>
      </c>
      <c r="AF64" s="36">
        <v>0.76041666666666663</v>
      </c>
      <c r="AG64" s="39">
        <f t="shared" si="16"/>
        <v>3</v>
      </c>
      <c r="AH64" s="39">
        <f t="shared" si="17"/>
        <v>9.5</v>
      </c>
      <c r="AI64">
        <f t="shared" si="20"/>
        <v>3</v>
      </c>
      <c r="AJ64">
        <f t="shared" si="21"/>
        <v>4.5</v>
      </c>
      <c r="AK64" s="1">
        <v>2.9791666666666671E-2</v>
      </c>
      <c r="AL64" s="1">
        <v>2.4375000000000001E-2</v>
      </c>
      <c r="AM64" s="1"/>
    </row>
    <row r="65" spans="1:39" ht="17" customHeight="1">
      <c r="A65" s="8" t="s">
        <v>103</v>
      </c>
      <c r="B65" s="5" t="s">
        <v>83</v>
      </c>
      <c r="C65" s="6">
        <v>0.3659722222222222</v>
      </c>
      <c r="D65" s="6">
        <v>0.3888888888888889</v>
      </c>
      <c r="E65" s="9">
        <f t="shared" si="12"/>
        <v>2.2916666666666696E-2</v>
      </c>
      <c r="H65" s="2" t="s">
        <v>111</v>
      </c>
      <c r="I65" s="2" t="s">
        <v>83</v>
      </c>
      <c r="J65" s="3">
        <v>0.71111111111111114</v>
      </c>
      <c r="K65" s="3">
        <v>0.73472222222222228</v>
      </c>
      <c r="L65" s="1">
        <f t="shared" si="13"/>
        <v>2.3611111111111138E-2</v>
      </c>
      <c r="N65" s="22" t="s">
        <v>108</v>
      </c>
      <c r="O65" s="23" t="s">
        <v>81</v>
      </c>
      <c r="P65" s="24">
        <v>0.72777777777777775</v>
      </c>
      <c r="Q65" s="24">
        <v>0.75902777777777775</v>
      </c>
      <c r="R65" s="1">
        <f>Table48[[#This Row],[Time Arrived]]-Table48[[#This Row],[Time Left]]</f>
        <v>3.125E-2</v>
      </c>
      <c r="S65" s="1">
        <v>0.76041666666666663</v>
      </c>
      <c r="T65">
        <f t="shared" si="14"/>
        <v>1</v>
      </c>
      <c r="U65">
        <f t="shared" si="15"/>
        <v>8.5</v>
      </c>
      <c r="V65">
        <f t="shared" si="18"/>
        <v>1</v>
      </c>
      <c r="W65">
        <f t="shared" si="19"/>
        <v>8</v>
      </c>
      <c r="X65" s="1">
        <v>3.4375000000000003E-2</v>
      </c>
      <c r="Y65" s="1">
        <v>2.8125000000000001E-2</v>
      </c>
      <c r="AA65" s="22" t="s">
        <v>105</v>
      </c>
      <c r="AB65" s="23" t="s">
        <v>83</v>
      </c>
      <c r="AC65" s="24">
        <v>0.7270833333333333</v>
      </c>
      <c r="AD65" s="24">
        <v>0.75347222222222221</v>
      </c>
      <c r="AE65" s="36">
        <f>Table59[[#This Row],[Time Arrived]]-Table59[[#This Row],[Time Left]]</f>
        <v>2.6388888888888906E-2</v>
      </c>
      <c r="AF65" s="36">
        <v>0.76041666666666663</v>
      </c>
      <c r="AG65" s="39">
        <f t="shared" si="16"/>
        <v>2</v>
      </c>
      <c r="AH65" s="39">
        <f t="shared" si="17"/>
        <v>19.5</v>
      </c>
      <c r="AI65">
        <f t="shared" si="20"/>
        <v>2</v>
      </c>
      <c r="AJ65">
        <f t="shared" si="21"/>
        <v>10</v>
      </c>
      <c r="AK65" s="36">
        <v>2.9027777777777781E-2</v>
      </c>
      <c r="AL65" s="36">
        <v>2.375E-2</v>
      </c>
      <c r="AM65" s="36"/>
    </row>
    <row r="66" spans="1:39" ht="17" customHeight="1">
      <c r="A66" s="8" t="s">
        <v>109</v>
      </c>
      <c r="B66" s="5" t="s">
        <v>83</v>
      </c>
      <c r="C66" s="6">
        <v>0.36736111111111108</v>
      </c>
      <c r="D66" s="6">
        <v>0.39583333333333331</v>
      </c>
      <c r="E66" s="9">
        <f t="shared" ref="E66:E97" si="22">D66-C66</f>
        <v>2.8472222222222232E-2</v>
      </c>
      <c r="H66" s="2" t="s">
        <v>114</v>
      </c>
      <c r="I66" s="2" t="s">
        <v>83</v>
      </c>
      <c r="J66" s="3">
        <v>0.71597222222222223</v>
      </c>
      <c r="K66" s="3">
        <v>0.7416666666666667</v>
      </c>
      <c r="L66" s="1">
        <f t="shared" ref="L66:L73" si="23">K66-J66</f>
        <v>2.5694444444444464E-2</v>
      </c>
      <c r="N66" s="22" t="s">
        <v>104</v>
      </c>
      <c r="O66" s="23" t="s">
        <v>81</v>
      </c>
      <c r="P66" s="24">
        <v>0.3923611111111111</v>
      </c>
      <c r="Q66" s="30"/>
      <c r="R66" s="25">
        <f>Q66-P66</f>
        <v>-0.3923611111111111</v>
      </c>
      <c r="S66" s="1"/>
      <c r="T66" t="e">
        <f t="shared" ref="T66:T85" si="24">_xlfn.RANK.AVG($Q66,$Q$2:$Q$65,0)</f>
        <v>#N/A</v>
      </c>
      <c r="U66" t="e">
        <f t="shared" ref="U66:U85" si="25">_xlfn.RANK.AVG(R66,$R$2:$R$65,0)</f>
        <v>#N/A</v>
      </c>
      <c r="X66">
        <f>Table48[[#This Row],[Total Time]]*1.1</f>
        <v>-0.43159722222222224</v>
      </c>
      <c r="Y66" s="1">
        <f>Table48[[#This Row],[Total Time]]*0.9</f>
        <v>-0.35312500000000002</v>
      </c>
      <c r="AA66" s="26" t="s">
        <v>103</v>
      </c>
      <c r="AB66" s="27" t="s">
        <v>83</v>
      </c>
      <c r="AC66" s="28">
        <v>0.73263888888888884</v>
      </c>
      <c r="AD66" s="28">
        <v>0.75902777777777775</v>
      </c>
      <c r="AE66" s="36">
        <f>Table59[[#This Row],[Time Arrived]]-Table59[[#This Row],[Time Left]]</f>
        <v>2.6388888888888906E-2</v>
      </c>
      <c r="AF66" s="36">
        <v>0.76041666666666663</v>
      </c>
      <c r="AG66" s="39">
        <f t="shared" ref="AG66:AG79" si="26">_xlfn.RANK.AVG($AD66,$AD$2:$AD$66,0)</f>
        <v>1</v>
      </c>
      <c r="AH66" s="39">
        <f t="shared" ref="AH66:AH79" si="27">_xlfn.RANK.AVG($AE66,$AE$2:$AE$65,0)</f>
        <v>19.5</v>
      </c>
      <c r="AI66">
        <f t="shared" si="20"/>
        <v>1</v>
      </c>
      <c r="AJ66">
        <f t="shared" si="21"/>
        <v>10</v>
      </c>
      <c r="AK66" s="1">
        <v>2.9027777777777781E-2</v>
      </c>
      <c r="AL66" s="1">
        <v>2.375E-2</v>
      </c>
      <c r="AM66" s="1"/>
    </row>
    <row r="67" spans="1:39" ht="17" customHeight="1">
      <c r="A67" s="8" t="s">
        <v>111</v>
      </c>
      <c r="B67" s="5" t="s">
        <v>83</v>
      </c>
      <c r="C67" s="6">
        <v>0.375</v>
      </c>
      <c r="D67" s="6">
        <v>0.4</v>
      </c>
      <c r="E67" s="9">
        <f t="shared" si="22"/>
        <v>2.5000000000000022E-2</v>
      </c>
      <c r="H67" s="2" t="s">
        <v>116</v>
      </c>
      <c r="I67" s="2" t="s">
        <v>83</v>
      </c>
      <c r="J67" s="3">
        <v>0.72222222222222221</v>
      </c>
      <c r="K67" s="3">
        <v>0.74930555555555556</v>
      </c>
      <c r="L67" s="1">
        <f t="shared" si="23"/>
        <v>2.7083333333333348E-2</v>
      </c>
      <c r="N67" s="22" t="s">
        <v>95</v>
      </c>
      <c r="O67" s="23" t="s">
        <v>81</v>
      </c>
      <c r="P67" s="24">
        <v>0.41944444444444451</v>
      </c>
      <c r="Q67" s="30"/>
      <c r="R67" s="25">
        <f>Q67-P67</f>
        <v>-0.41944444444444451</v>
      </c>
      <c r="S67" s="1"/>
      <c r="T67" t="e">
        <f t="shared" si="24"/>
        <v>#N/A</v>
      </c>
      <c r="U67" t="e">
        <f t="shared" si="25"/>
        <v>#N/A</v>
      </c>
      <c r="X67">
        <f>Table48[[#This Row],[Total Time]]*1.1</f>
        <v>-0.46138888888888901</v>
      </c>
      <c r="Y67" s="1">
        <f>Table48[[#This Row],[Total Time]]*0.9</f>
        <v>-0.37750000000000006</v>
      </c>
      <c r="AA67" s="26" t="s">
        <v>100</v>
      </c>
      <c r="AB67" s="27" t="s">
        <v>83</v>
      </c>
      <c r="AC67" s="28">
        <v>0.41944444444444451</v>
      </c>
      <c r="AD67" s="31"/>
      <c r="AE67" s="29">
        <f t="shared" ref="AE67:AE79" si="28">AD67-AC67</f>
        <v>-0.41944444444444451</v>
      </c>
      <c r="AF67" s="1"/>
      <c r="AG67" t="e">
        <f t="shared" si="26"/>
        <v>#N/A</v>
      </c>
      <c r="AH67" t="e">
        <f t="shared" si="27"/>
        <v>#N/A</v>
      </c>
      <c r="AI67" s="1"/>
      <c r="AJ67" s="1"/>
      <c r="AK67" s="1">
        <f>Table59[[#This Row],[Total Time]]*1.1</f>
        <v>-0.46138888888888901</v>
      </c>
      <c r="AL67" s="1">
        <f>Table59[[#This Row],[Total Time]]*0.9</f>
        <v>-0.37750000000000006</v>
      </c>
      <c r="AM67" s="1"/>
    </row>
    <row r="68" spans="1:39" ht="17" customHeight="1">
      <c r="A68" s="8" t="s">
        <v>114</v>
      </c>
      <c r="B68" s="5" t="s">
        <v>83</v>
      </c>
      <c r="C68" s="6">
        <v>0.37986111111111109</v>
      </c>
      <c r="D68" s="6">
        <v>0.40416666666666667</v>
      </c>
      <c r="E68" s="9">
        <f t="shared" si="22"/>
        <v>2.430555555555558E-2</v>
      </c>
      <c r="H68" s="2" t="s">
        <v>105</v>
      </c>
      <c r="I68" s="2" t="s">
        <v>83</v>
      </c>
      <c r="J68" s="3">
        <v>0.7270833333333333</v>
      </c>
      <c r="K68" s="3">
        <v>0.75347222222222221</v>
      </c>
      <c r="L68" s="1">
        <f t="shared" si="23"/>
        <v>2.6388888888888906E-2</v>
      </c>
      <c r="N68" s="22" t="s">
        <v>110</v>
      </c>
      <c r="O68" s="23" t="s">
        <v>81</v>
      </c>
      <c r="P68" s="24">
        <v>0.43333333333333329</v>
      </c>
      <c r="Q68" s="30"/>
      <c r="R68" s="25" t="s">
        <v>130</v>
      </c>
      <c r="S68" s="1"/>
      <c r="T68" t="e">
        <f t="shared" si="24"/>
        <v>#N/A</v>
      </c>
      <c r="U68" t="e">
        <f t="shared" si="25"/>
        <v>#VALUE!</v>
      </c>
      <c r="X68" t="e">
        <f>Table48[[#This Row],[Total Time]]*1.1</f>
        <v>#VALUE!</v>
      </c>
      <c r="Y68" s="1" t="e">
        <f>Table48[[#This Row],[Total Time]]*0.9</f>
        <v>#VALUE!</v>
      </c>
      <c r="AA68" s="26" t="s">
        <v>105</v>
      </c>
      <c r="AB68" s="27" t="s">
        <v>83</v>
      </c>
      <c r="AC68" s="28">
        <v>0.49236111111111108</v>
      </c>
      <c r="AD68" s="31"/>
      <c r="AE68" s="29">
        <f t="shared" si="28"/>
        <v>-0.49236111111111108</v>
      </c>
      <c r="AF68" s="1"/>
      <c r="AG68" t="e">
        <f t="shared" si="26"/>
        <v>#N/A</v>
      </c>
      <c r="AH68" t="e">
        <f t="shared" si="27"/>
        <v>#N/A</v>
      </c>
      <c r="AI68" s="1"/>
      <c r="AJ68" s="1"/>
      <c r="AK68" s="1">
        <f>Table59[[#This Row],[Total Time]]*1.1</f>
        <v>-0.54159722222222229</v>
      </c>
      <c r="AL68" s="1">
        <f>Table59[[#This Row],[Total Time]]*0.9</f>
        <v>-0.44312499999999999</v>
      </c>
      <c r="AM68" s="1"/>
    </row>
    <row r="69" spans="1:39" ht="17" customHeight="1">
      <c r="A69" s="8" t="s">
        <v>116</v>
      </c>
      <c r="B69" s="5" t="s">
        <v>83</v>
      </c>
      <c r="C69" s="6">
        <v>0.38124999999999998</v>
      </c>
      <c r="D69" s="6">
        <v>0.40763888888888888</v>
      </c>
      <c r="E69" s="9">
        <f t="shared" si="22"/>
        <v>2.6388888888888906E-2</v>
      </c>
      <c r="H69" s="2" t="s">
        <v>103</v>
      </c>
      <c r="I69" s="2" t="s">
        <v>83</v>
      </c>
      <c r="J69" s="3">
        <v>0.73263888888888884</v>
      </c>
      <c r="K69" s="3">
        <v>0.75902777777777775</v>
      </c>
      <c r="L69" s="1">
        <f t="shared" si="23"/>
        <v>2.6388888888888906E-2</v>
      </c>
      <c r="N69" s="26" t="s">
        <v>115</v>
      </c>
      <c r="O69" s="27" t="s">
        <v>81</v>
      </c>
      <c r="P69" s="28">
        <v>0.43611111111111112</v>
      </c>
      <c r="Q69" s="31"/>
      <c r="R69" s="29">
        <f t="shared" ref="R69:R85" si="29">Q69-P69</f>
        <v>-0.43611111111111112</v>
      </c>
      <c r="S69" s="1"/>
      <c r="T69" t="e">
        <f t="shared" si="24"/>
        <v>#N/A</v>
      </c>
      <c r="U69" t="e">
        <f t="shared" si="25"/>
        <v>#N/A</v>
      </c>
      <c r="X69">
        <f>Table48[[#This Row],[Total Time]]*1.1</f>
        <v>-0.47972222222222227</v>
      </c>
      <c r="Y69" s="1">
        <f>Table48[[#This Row],[Total Time]]*0.9</f>
        <v>-0.39250000000000002</v>
      </c>
      <c r="AA69" s="22" t="s">
        <v>109</v>
      </c>
      <c r="AB69" s="23" t="s">
        <v>83</v>
      </c>
      <c r="AC69" s="24">
        <v>0.50208333333333333</v>
      </c>
      <c r="AD69" s="30"/>
      <c r="AE69" s="25">
        <f t="shared" si="28"/>
        <v>-0.50208333333333333</v>
      </c>
      <c r="AF69" s="36"/>
      <c r="AG69" s="39" t="e">
        <f t="shared" si="26"/>
        <v>#N/A</v>
      </c>
      <c r="AH69" s="39" t="e">
        <f t="shared" si="27"/>
        <v>#N/A</v>
      </c>
      <c r="AI69" s="36"/>
      <c r="AJ69" s="36"/>
      <c r="AK69" s="36">
        <f>Table59[[#This Row],[Total Time]]*1.1</f>
        <v>-0.55229166666666674</v>
      </c>
      <c r="AL69" s="36">
        <f>Table59[[#This Row],[Total Time]]*0.9</f>
        <v>-0.45187500000000003</v>
      </c>
      <c r="AM69" s="36"/>
    </row>
    <row r="70" spans="1:39" ht="17" customHeight="1">
      <c r="A70" s="8" t="s">
        <v>82</v>
      </c>
      <c r="B70" s="5" t="s">
        <v>83</v>
      </c>
      <c r="C70" s="6">
        <v>0.38263888888888892</v>
      </c>
      <c r="D70" s="6">
        <v>0.40833333333333333</v>
      </c>
      <c r="E70" s="9">
        <f t="shared" si="22"/>
        <v>2.5694444444444409E-2</v>
      </c>
      <c r="H70" s="2" t="s">
        <v>109</v>
      </c>
      <c r="I70" s="2" t="s">
        <v>83</v>
      </c>
      <c r="J70" s="3">
        <v>0.73819444444444449</v>
      </c>
      <c r="K70" s="4"/>
      <c r="L70" s="1">
        <f t="shared" si="23"/>
        <v>-0.73819444444444449</v>
      </c>
      <c r="N70" s="26" t="s">
        <v>102</v>
      </c>
      <c r="O70" s="27" t="s">
        <v>81</v>
      </c>
      <c r="P70" s="28">
        <v>0.46180555555555558</v>
      </c>
      <c r="Q70" s="31"/>
      <c r="R70" s="29">
        <f t="shared" si="29"/>
        <v>-0.46180555555555558</v>
      </c>
      <c r="S70" s="1"/>
      <c r="T70" t="e">
        <f t="shared" si="24"/>
        <v>#N/A</v>
      </c>
      <c r="U70" t="e">
        <f t="shared" si="25"/>
        <v>#N/A</v>
      </c>
      <c r="X70">
        <f>Table48[[#This Row],[Total Time]]*1.1</f>
        <v>-0.50798611111111114</v>
      </c>
      <c r="Y70" s="1">
        <f>Table48[[#This Row],[Total Time]]*0.9</f>
        <v>-0.41562500000000002</v>
      </c>
      <c r="AA70" s="26" t="s">
        <v>111</v>
      </c>
      <c r="AB70" s="27" t="s">
        <v>83</v>
      </c>
      <c r="AC70" s="28">
        <v>0.50069444444444444</v>
      </c>
      <c r="AD70" s="31"/>
      <c r="AE70" s="29">
        <f t="shared" si="28"/>
        <v>-0.50069444444444444</v>
      </c>
      <c r="AF70" s="1"/>
      <c r="AG70" t="e">
        <f t="shared" si="26"/>
        <v>#N/A</v>
      </c>
      <c r="AH70" t="e">
        <f t="shared" si="27"/>
        <v>#N/A</v>
      </c>
      <c r="AI70" s="1"/>
      <c r="AJ70" s="1"/>
      <c r="AK70" s="1">
        <f>Table59[[#This Row],[Total Time]]*1.1</f>
        <v>-0.55076388888888894</v>
      </c>
      <c r="AL70" s="1">
        <f>Table59[[#This Row],[Total Time]]*0.9</f>
        <v>-0.450625</v>
      </c>
      <c r="AM70" s="1"/>
    </row>
    <row r="71" spans="1:39" ht="17" customHeight="1">
      <c r="A71" s="8" t="s">
        <v>95</v>
      </c>
      <c r="B71" s="5" t="s">
        <v>83</v>
      </c>
      <c r="C71" s="6">
        <v>0.38541666666666669</v>
      </c>
      <c r="D71" s="6">
        <v>0.41249999999999998</v>
      </c>
      <c r="E71" s="9">
        <f t="shared" si="22"/>
        <v>2.7083333333333293E-2</v>
      </c>
      <c r="H71" s="2" t="s">
        <v>111</v>
      </c>
      <c r="I71" s="2" t="s">
        <v>83</v>
      </c>
      <c r="J71" s="3">
        <v>0.74444444444444446</v>
      </c>
      <c r="K71" s="4"/>
      <c r="L71" s="1">
        <f t="shared" si="23"/>
        <v>-0.74444444444444446</v>
      </c>
      <c r="N71" s="22" t="s">
        <v>99</v>
      </c>
      <c r="O71" s="23" t="s">
        <v>81</v>
      </c>
      <c r="P71" s="24">
        <v>0.48680555555555549</v>
      </c>
      <c r="Q71" s="30"/>
      <c r="R71" s="25">
        <f t="shared" si="29"/>
        <v>-0.48680555555555549</v>
      </c>
      <c r="S71" s="1"/>
      <c r="T71" t="e">
        <f t="shared" si="24"/>
        <v>#N/A</v>
      </c>
      <c r="U71" t="e">
        <f t="shared" si="25"/>
        <v>#N/A</v>
      </c>
      <c r="X71">
        <f>Table48[[#This Row],[Total Time]]*1.1</f>
        <v>-0.53548611111111111</v>
      </c>
      <c r="Y71" s="1">
        <f>Table48[[#This Row],[Total Time]]*0.9</f>
        <v>-0.43812499999999993</v>
      </c>
      <c r="AA71" s="22" t="s">
        <v>114</v>
      </c>
      <c r="AB71" s="23" t="s">
        <v>83</v>
      </c>
      <c r="AC71" s="24">
        <v>0.51111111111111107</v>
      </c>
      <c r="AD71" s="30"/>
      <c r="AE71" s="25">
        <f t="shared" si="28"/>
        <v>-0.51111111111111107</v>
      </c>
      <c r="AF71" s="36"/>
      <c r="AG71" s="39" t="e">
        <f t="shared" si="26"/>
        <v>#N/A</v>
      </c>
      <c r="AH71" s="39" t="e">
        <f t="shared" si="27"/>
        <v>#N/A</v>
      </c>
      <c r="AI71" s="36"/>
      <c r="AJ71" s="36"/>
      <c r="AK71" s="36">
        <f>Table59[[#This Row],[Total Time]]*1.1</f>
        <v>-0.56222222222222218</v>
      </c>
      <c r="AL71" s="36">
        <f>Table59[[#This Row],[Total Time]]*0.9</f>
        <v>-0.45999999999999996</v>
      </c>
      <c r="AM71" s="36"/>
    </row>
    <row r="72" spans="1:39" ht="17" customHeight="1">
      <c r="A72" s="8" t="s">
        <v>98</v>
      </c>
      <c r="B72" s="5" t="s">
        <v>83</v>
      </c>
      <c r="C72" s="6">
        <v>0.38750000000000001</v>
      </c>
      <c r="D72" s="6">
        <v>0.41458333333333341</v>
      </c>
      <c r="E72" s="9">
        <f t="shared" si="22"/>
        <v>2.7083333333333404E-2</v>
      </c>
      <c r="H72" s="2" t="s">
        <v>114</v>
      </c>
      <c r="I72" s="2" t="s">
        <v>83</v>
      </c>
      <c r="J72" s="4"/>
      <c r="K72" s="4"/>
      <c r="L72" s="1">
        <f t="shared" si="23"/>
        <v>0</v>
      </c>
      <c r="N72" s="26" t="s">
        <v>107</v>
      </c>
      <c r="O72" s="27" t="s">
        <v>81</v>
      </c>
      <c r="P72" s="28">
        <v>0.49236111111111108</v>
      </c>
      <c r="Q72" s="31"/>
      <c r="R72" s="29">
        <f t="shared" si="29"/>
        <v>-0.49236111111111108</v>
      </c>
      <c r="S72" s="1"/>
      <c r="T72" t="e">
        <f t="shared" si="24"/>
        <v>#N/A</v>
      </c>
      <c r="U72" t="e">
        <f t="shared" si="25"/>
        <v>#N/A</v>
      </c>
      <c r="X72">
        <f>Table48[[#This Row],[Total Time]]*1.1</f>
        <v>-0.54159722222222229</v>
      </c>
      <c r="Y72" s="1">
        <f>Table48[[#This Row],[Total Time]]*0.9</f>
        <v>-0.44312499999999999</v>
      </c>
      <c r="AA72" s="26" t="s">
        <v>116</v>
      </c>
      <c r="AB72" s="27" t="s">
        <v>83</v>
      </c>
      <c r="AC72" s="31"/>
      <c r="AD72" s="31"/>
      <c r="AE72" s="29">
        <f t="shared" si="28"/>
        <v>0</v>
      </c>
      <c r="AF72" s="1"/>
      <c r="AG72" t="e">
        <f t="shared" si="26"/>
        <v>#N/A</v>
      </c>
      <c r="AH72" t="e">
        <f t="shared" si="27"/>
        <v>#N/A</v>
      </c>
      <c r="AI72" s="1"/>
      <c r="AJ72" s="1"/>
      <c r="AK72" s="1">
        <f>Table59[[#This Row],[Total Time]]*1.1</f>
        <v>0</v>
      </c>
      <c r="AL72" s="1">
        <f>Table59[[#This Row],[Total Time]]*0.9</f>
        <v>0</v>
      </c>
      <c r="AM72" s="1"/>
    </row>
    <row r="73" spans="1:39" ht="17" customHeight="1">
      <c r="A73" s="8" t="s">
        <v>100</v>
      </c>
      <c r="B73" s="5" t="s">
        <v>83</v>
      </c>
      <c r="C73" s="6">
        <v>0.39305555555555549</v>
      </c>
      <c r="D73" s="6">
        <v>0.41666666666666669</v>
      </c>
      <c r="E73" s="9">
        <f t="shared" si="22"/>
        <v>2.3611111111111194E-2</v>
      </c>
      <c r="H73" s="2" t="s">
        <v>116</v>
      </c>
      <c r="I73" s="2" t="s">
        <v>83</v>
      </c>
      <c r="J73" s="4"/>
      <c r="K73" s="4"/>
      <c r="L73" s="1">
        <f t="shared" si="23"/>
        <v>0</v>
      </c>
      <c r="N73" s="22" t="s">
        <v>108</v>
      </c>
      <c r="O73" s="23" t="s">
        <v>81</v>
      </c>
      <c r="P73" s="24">
        <v>0.49652777777777779</v>
      </c>
      <c r="Q73" s="30"/>
      <c r="R73" s="25">
        <f t="shared" si="29"/>
        <v>-0.49652777777777779</v>
      </c>
      <c r="S73" s="1"/>
      <c r="T73" t="e">
        <f t="shared" si="24"/>
        <v>#N/A</v>
      </c>
      <c r="U73" t="e">
        <f t="shared" si="25"/>
        <v>#N/A</v>
      </c>
      <c r="X73">
        <f>Table48[[#This Row],[Total Time]]*1.1</f>
        <v>-0.54618055555555556</v>
      </c>
      <c r="Y73" s="1">
        <f>Table48[[#This Row],[Total Time]]*0.9</f>
        <v>-0.44687500000000002</v>
      </c>
      <c r="AA73" s="22" t="s">
        <v>98</v>
      </c>
      <c r="AB73" s="23" t="s">
        <v>83</v>
      </c>
      <c r="AC73" s="30"/>
      <c r="AD73" s="30"/>
      <c r="AE73" s="25">
        <f t="shared" si="28"/>
        <v>0</v>
      </c>
      <c r="AF73" s="36"/>
      <c r="AG73" s="39" t="e">
        <f t="shared" si="26"/>
        <v>#N/A</v>
      </c>
      <c r="AH73" s="39" t="e">
        <f t="shared" si="27"/>
        <v>#N/A</v>
      </c>
      <c r="AI73" s="36"/>
      <c r="AJ73" s="36"/>
      <c r="AK73" s="36">
        <f>Table59[[#This Row],[Total Time]]*1.1</f>
        <v>0</v>
      </c>
      <c r="AL73" s="36">
        <f>Table59[[#This Row],[Total Time]]*0.9</f>
        <v>0</v>
      </c>
      <c r="AM73" s="36"/>
    </row>
    <row r="74" spans="1:39" ht="17" customHeight="1">
      <c r="A74" s="8" t="s">
        <v>103</v>
      </c>
      <c r="B74" s="5" t="s">
        <v>83</v>
      </c>
      <c r="C74" s="6">
        <v>0.39652777777777781</v>
      </c>
      <c r="D74" s="6">
        <v>0.42152777777777778</v>
      </c>
      <c r="E74" s="9">
        <f t="shared" si="22"/>
        <v>2.4999999999999967E-2</v>
      </c>
      <c r="N74" s="26" t="s">
        <v>127</v>
      </c>
      <c r="O74" s="27" t="s">
        <v>81</v>
      </c>
      <c r="P74" s="28">
        <v>0.50138888888888888</v>
      </c>
      <c r="Q74" s="31"/>
      <c r="R74" s="29">
        <f t="shared" si="29"/>
        <v>-0.50138888888888888</v>
      </c>
      <c r="S74" s="1"/>
      <c r="T74" t="e">
        <f t="shared" si="24"/>
        <v>#N/A</v>
      </c>
      <c r="U74" t="e">
        <f t="shared" si="25"/>
        <v>#N/A</v>
      </c>
      <c r="X74">
        <f>Table48[[#This Row],[Total Time]]*1.1</f>
        <v>-0.55152777777777784</v>
      </c>
      <c r="Y74" s="1">
        <f>Table48[[#This Row],[Total Time]]*0.9</f>
        <v>-0.45124999999999998</v>
      </c>
      <c r="AA74" s="26" t="s">
        <v>122</v>
      </c>
      <c r="AB74" s="27" t="s">
        <v>140</v>
      </c>
      <c r="AC74" s="28">
        <v>0.49722222222222218</v>
      </c>
      <c r="AD74" s="31"/>
      <c r="AE74" s="29">
        <f t="shared" si="28"/>
        <v>-0.49722222222222218</v>
      </c>
      <c r="AF74" s="1"/>
      <c r="AG74" t="e">
        <f t="shared" si="26"/>
        <v>#N/A</v>
      </c>
      <c r="AH74" t="e">
        <f t="shared" si="27"/>
        <v>#N/A</v>
      </c>
      <c r="AI74" s="1"/>
      <c r="AJ74" s="1"/>
      <c r="AK74" s="1">
        <f>Table59[[#This Row],[Total Time]]*1.1</f>
        <v>-0.54694444444444446</v>
      </c>
      <c r="AL74" s="1">
        <f>Table59[[#This Row],[Total Time]]*0.9</f>
        <v>-0.44749999999999995</v>
      </c>
      <c r="AM74" s="1"/>
    </row>
    <row r="75" spans="1:39" ht="17" customHeight="1">
      <c r="A75" s="8" t="s">
        <v>105</v>
      </c>
      <c r="B75" s="5" t="s">
        <v>83</v>
      </c>
      <c r="C75" s="6">
        <v>0.39166666666666672</v>
      </c>
      <c r="D75" s="6">
        <v>0.41875000000000001</v>
      </c>
      <c r="E75" s="9">
        <f t="shared" si="22"/>
        <v>2.7083333333333293E-2</v>
      </c>
      <c r="N75" s="22" t="s">
        <v>104</v>
      </c>
      <c r="O75" s="23" t="s">
        <v>81</v>
      </c>
      <c r="P75" s="24">
        <v>0.50624999999999998</v>
      </c>
      <c r="Q75" s="30"/>
      <c r="R75" s="25">
        <f t="shared" si="29"/>
        <v>-0.50624999999999998</v>
      </c>
      <c r="S75" s="1"/>
      <c r="T75" t="e">
        <f t="shared" si="24"/>
        <v>#N/A</v>
      </c>
      <c r="U75" t="e">
        <f t="shared" si="25"/>
        <v>#N/A</v>
      </c>
      <c r="X75">
        <f>Table48[[#This Row],[Total Time]]*1.1</f>
        <v>-0.55687500000000001</v>
      </c>
      <c r="Y75" s="1">
        <f>Table48[[#This Row],[Total Time]]*0.9</f>
        <v>-0.455625</v>
      </c>
      <c r="AA75" s="26" t="s">
        <v>98</v>
      </c>
      <c r="AB75" s="27" t="s">
        <v>83</v>
      </c>
      <c r="AC75" s="28">
        <v>0.69097222222222221</v>
      </c>
      <c r="AD75" s="31"/>
      <c r="AE75" s="29">
        <f t="shared" si="28"/>
        <v>-0.69097222222222221</v>
      </c>
      <c r="AF75" s="1"/>
      <c r="AG75" t="e">
        <f t="shared" si="26"/>
        <v>#N/A</v>
      </c>
      <c r="AH75" t="e">
        <f t="shared" si="27"/>
        <v>#N/A</v>
      </c>
      <c r="AI75" s="1"/>
      <c r="AJ75" s="1"/>
      <c r="AK75" s="1">
        <f>Table59[[#This Row],[Total Time]]*1.1</f>
        <v>-0.76006944444444446</v>
      </c>
      <c r="AL75" s="1">
        <f>Table59[[#This Row],[Total Time]]*0.9</f>
        <v>-0.62187499999999996</v>
      </c>
      <c r="AM75" s="1"/>
    </row>
    <row r="76" spans="1:39" ht="17" customHeight="1">
      <c r="A76" s="8" t="s">
        <v>109</v>
      </c>
      <c r="B76" s="5" t="s">
        <v>83</v>
      </c>
      <c r="C76" s="6">
        <v>0.4</v>
      </c>
      <c r="D76" s="6">
        <v>0.42222222222222222</v>
      </c>
      <c r="E76" s="9">
        <f t="shared" si="22"/>
        <v>2.2222222222222199E-2</v>
      </c>
      <c r="N76" s="26" t="s">
        <v>82</v>
      </c>
      <c r="O76" s="27" t="s">
        <v>81</v>
      </c>
      <c r="P76" s="28">
        <v>0.50972222222222219</v>
      </c>
      <c r="Q76" s="31"/>
      <c r="R76" s="29">
        <f t="shared" si="29"/>
        <v>-0.50972222222222219</v>
      </c>
      <c r="S76" s="1"/>
      <c r="T76" t="e">
        <f t="shared" si="24"/>
        <v>#N/A</v>
      </c>
      <c r="U76" t="e">
        <f t="shared" si="25"/>
        <v>#N/A</v>
      </c>
      <c r="X76">
        <f>Table48[[#This Row],[Total Time]]*1.1</f>
        <v>-0.5606944444444445</v>
      </c>
      <c r="Y76" s="1">
        <f>Table48[[#This Row],[Total Time]]*0.9</f>
        <v>-0.45874999999999999</v>
      </c>
      <c r="AA76" s="22" t="s">
        <v>109</v>
      </c>
      <c r="AB76" s="23" t="s">
        <v>83</v>
      </c>
      <c r="AC76" s="24">
        <v>0.73819444444444449</v>
      </c>
      <c r="AD76" s="30"/>
      <c r="AE76" s="25">
        <f t="shared" si="28"/>
        <v>-0.73819444444444449</v>
      </c>
      <c r="AF76" s="36"/>
      <c r="AG76" s="39" t="e">
        <f t="shared" si="26"/>
        <v>#N/A</v>
      </c>
      <c r="AH76" s="39" t="e">
        <f t="shared" si="27"/>
        <v>#N/A</v>
      </c>
      <c r="AI76" s="36"/>
      <c r="AJ76" s="36"/>
      <c r="AK76" s="36">
        <f>Table59[[#This Row],[Total Time]]*1.1</f>
        <v>-0.81201388888888903</v>
      </c>
      <c r="AL76" s="36">
        <f>Table59[[#This Row],[Total Time]]*0.9</f>
        <v>-0.66437500000000005</v>
      </c>
      <c r="AM76" s="36"/>
    </row>
    <row r="77" spans="1:39" ht="17" customHeight="1">
      <c r="A77" s="8" t="s">
        <v>111</v>
      </c>
      <c r="B77" s="5" t="s">
        <v>83</v>
      </c>
      <c r="C77" s="6">
        <v>0.40486111111111112</v>
      </c>
      <c r="D77" s="6">
        <v>0.4284722222222222</v>
      </c>
      <c r="E77" s="9">
        <f t="shared" si="22"/>
        <v>2.3611111111111083E-2</v>
      </c>
      <c r="N77" s="22" t="s">
        <v>97</v>
      </c>
      <c r="O77" s="23" t="s">
        <v>81</v>
      </c>
      <c r="P77" s="30"/>
      <c r="Q77" s="30"/>
      <c r="R77" s="25">
        <f t="shared" si="29"/>
        <v>0</v>
      </c>
      <c r="S77" s="1"/>
      <c r="T77" t="e">
        <f t="shared" si="24"/>
        <v>#N/A</v>
      </c>
      <c r="U77" t="e">
        <f t="shared" si="25"/>
        <v>#N/A</v>
      </c>
      <c r="X77">
        <f>Table48[[#This Row],[Total Time]]*1.1</f>
        <v>0</v>
      </c>
      <c r="Y77" s="1">
        <f>Table48[[#This Row],[Total Time]]*0.9</f>
        <v>0</v>
      </c>
      <c r="AA77" s="26" t="s">
        <v>111</v>
      </c>
      <c r="AB77" s="27" t="s">
        <v>83</v>
      </c>
      <c r="AC77" s="28">
        <v>0.74444444444444446</v>
      </c>
      <c r="AD77" s="31"/>
      <c r="AE77" s="29">
        <f t="shared" si="28"/>
        <v>-0.74444444444444446</v>
      </c>
      <c r="AF77" s="1"/>
      <c r="AG77" t="e">
        <f t="shared" si="26"/>
        <v>#N/A</v>
      </c>
      <c r="AH77" t="e">
        <f t="shared" si="27"/>
        <v>#N/A</v>
      </c>
      <c r="AI77" s="1"/>
      <c r="AJ77" s="1"/>
      <c r="AK77" s="1">
        <f>Table59[[#This Row],[Total Time]]*1.1</f>
        <v>-0.818888888888889</v>
      </c>
      <c r="AL77" s="1">
        <f>Table59[[#This Row],[Total Time]]*0.9</f>
        <v>-0.67</v>
      </c>
      <c r="AM77" s="1"/>
    </row>
    <row r="78" spans="1:39" ht="17" customHeight="1">
      <c r="A78" s="8" t="s">
        <v>114</v>
      </c>
      <c r="B78" s="5" t="s">
        <v>83</v>
      </c>
      <c r="C78" s="6">
        <v>0.40902777777777782</v>
      </c>
      <c r="D78" s="6">
        <v>0.43402777777777779</v>
      </c>
      <c r="E78" s="9">
        <f t="shared" si="22"/>
        <v>2.4999999999999967E-2</v>
      </c>
      <c r="N78" s="22" t="s">
        <v>101</v>
      </c>
      <c r="O78" s="23" t="s">
        <v>81</v>
      </c>
      <c r="P78" s="24">
        <v>0.58680555555555558</v>
      </c>
      <c r="Q78" s="30"/>
      <c r="R78" s="25">
        <f t="shared" si="29"/>
        <v>-0.58680555555555558</v>
      </c>
      <c r="S78" s="1"/>
      <c r="T78" t="e">
        <f t="shared" si="24"/>
        <v>#N/A</v>
      </c>
      <c r="U78" t="e">
        <f t="shared" si="25"/>
        <v>#N/A</v>
      </c>
      <c r="X78">
        <f>Table48[[#This Row],[Total Time]]*1.1</f>
        <v>-0.6454861111111112</v>
      </c>
      <c r="Y78" s="1">
        <f>Table48[[#This Row],[Total Time]]*0.9</f>
        <v>-0.52812500000000007</v>
      </c>
      <c r="AA78" s="22" t="s">
        <v>114</v>
      </c>
      <c r="AB78" s="23" t="s">
        <v>83</v>
      </c>
      <c r="AC78" s="30"/>
      <c r="AD78" s="30"/>
      <c r="AE78" s="25">
        <f t="shared" si="28"/>
        <v>0</v>
      </c>
      <c r="AF78" s="36"/>
      <c r="AG78" s="39" t="e">
        <f t="shared" si="26"/>
        <v>#N/A</v>
      </c>
      <c r="AH78" s="39" t="e">
        <f t="shared" si="27"/>
        <v>#N/A</v>
      </c>
      <c r="AI78" s="36"/>
      <c r="AJ78" s="36"/>
      <c r="AK78" s="36">
        <f>Table59[[#This Row],[Total Time]]*1.1</f>
        <v>0</v>
      </c>
      <c r="AL78" s="36">
        <f>Table59[[#This Row],[Total Time]]*0.9</f>
        <v>0</v>
      </c>
      <c r="AM78" s="36"/>
    </row>
    <row r="79" spans="1:39" ht="17" customHeight="1">
      <c r="A79" s="8" t="s">
        <v>116</v>
      </c>
      <c r="B79" s="5" t="s">
        <v>83</v>
      </c>
      <c r="C79" s="6">
        <v>0.41388888888888892</v>
      </c>
      <c r="D79" s="6">
        <v>0.43888888888888888</v>
      </c>
      <c r="E79" s="9">
        <f t="shared" si="22"/>
        <v>2.4999999999999967E-2</v>
      </c>
      <c r="N79" s="22" t="s">
        <v>119</v>
      </c>
      <c r="O79" s="23" t="s">
        <v>81</v>
      </c>
      <c r="P79" s="24">
        <v>0.63680555555555551</v>
      </c>
      <c r="Q79" s="30"/>
      <c r="R79" s="25">
        <f t="shared" si="29"/>
        <v>-0.63680555555555551</v>
      </c>
      <c r="S79" s="1"/>
      <c r="T79" t="e">
        <f t="shared" si="24"/>
        <v>#N/A</v>
      </c>
      <c r="U79" t="e">
        <f t="shared" si="25"/>
        <v>#N/A</v>
      </c>
      <c r="X79">
        <f>Table48[[#This Row],[Total Time]]*1.1</f>
        <v>-0.70048611111111114</v>
      </c>
      <c r="Y79" s="1">
        <f>Table48[[#This Row],[Total Time]]*0.9</f>
        <v>-0.573125</v>
      </c>
      <c r="AA79" s="32" t="s">
        <v>116</v>
      </c>
      <c r="AB79" s="33" t="s">
        <v>83</v>
      </c>
      <c r="AC79" s="34"/>
      <c r="AD79" s="34"/>
      <c r="AE79" s="35">
        <f t="shared" si="28"/>
        <v>0</v>
      </c>
      <c r="AF79" s="1"/>
      <c r="AG79" t="e">
        <f t="shared" si="26"/>
        <v>#N/A</v>
      </c>
      <c r="AH79" t="e">
        <f t="shared" si="27"/>
        <v>#N/A</v>
      </c>
      <c r="AI79" s="1"/>
      <c r="AJ79" s="1"/>
      <c r="AK79" s="1">
        <f>Table59[[#This Row],[Total Time]]*1.1</f>
        <v>0</v>
      </c>
      <c r="AL79" s="1">
        <f>Table59[[#This Row],[Total Time]]*0.9</f>
        <v>0</v>
      </c>
      <c r="AM79" s="1"/>
    </row>
    <row r="80" spans="1:39" ht="17" customHeight="1">
      <c r="A80" s="8" t="s">
        <v>98</v>
      </c>
      <c r="B80" s="5" t="s">
        <v>83</v>
      </c>
      <c r="C80" s="6">
        <v>0.41875000000000001</v>
      </c>
      <c r="D80" s="6">
        <v>0.44444444444444442</v>
      </c>
      <c r="E80" s="9">
        <f t="shared" si="22"/>
        <v>2.5694444444444409E-2</v>
      </c>
      <c r="N80" s="22" t="s">
        <v>99</v>
      </c>
      <c r="O80" s="23" t="s">
        <v>81</v>
      </c>
      <c r="P80" s="24">
        <v>0.71527777777777779</v>
      </c>
      <c r="Q80" s="30"/>
      <c r="R80" s="25">
        <f t="shared" si="29"/>
        <v>-0.71527777777777779</v>
      </c>
      <c r="S80" s="1"/>
      <c r="T80" t="e">
        <f t="shared" si="24"/>
        <v>#N/A</v>
      </c>
      <c r="U80" t="e">
        <f t="shared" si="25"/>
        <v>#N/A</v>
      </c>
      <c r="X80">
        <f>Table48[[#This Row],[Total Time]]*1.1</f>
        <v>-0.78680555555555565</v>
      </c>
      <c r="Y80" s="1">
        <f>Table48[[#This Row],[Total Time]]*0.9</f>
        <v>-0.64375000000000004</v>
      </c>
    </row>
    <row r="81" spans="1:25" ht="17" customHeight="1">
      <c r="A81" s="8" t="s">
        <v>100</v>
      </c>
      <c r="B81" s="5" t="s">
        <v>83</v>
      </c>
      <c r="C81" s="6">
        <v>0.41944444444444451</v>
      </c>
      <c r="D81" s="7"/>
      <c r="E81" s="9">
        <f t="shared" si="22"/>
        <v>-0.41944444444444451</v>
      </c>
      <c r="N81" s="26" t="s">
        <v>113</v>
      </c>
      <c r="O81" s="27" t="s">
        <v>81</v>
      </c>
      <c r="P81" s="28">
        <v>0.73333333333333328</v>
      </c>
      <c r="Q81" s="31"/>
      <c r="R81" s="29">
        <f t="shared" si="29"/>
        <v>-0.73333333333333328</v>
      </c>
      <c r="S81" s="1"/>
      <c r="T81" t="e">
        <f t="shared" si="24"/>
        <v>#N/A</v>
      </c>
      <c r="U81" t="e">
        <f t="shared" si="25"/>
        <v>#N/A</v>
      </c>
      <c r="X81">
        <f>Table48[[#This Row],[Total Time]]*1.1</f>
        <v>-0.80666666666666664</v>
      </c>
      <c r="Y81" s="1">
        <f>Table48[[#This Row],[Total Time]]*0.9</f>
        <v>-0.65999999999999992</v>
      </c>
    </row>
    <row r="82" spans="1:25" ht="17" customHeight="1">
      <c r="A82" s="8" t="s">
        <v>105</v>
      </c>
      <c r="B82" s="5" t="s">
        <v>83</v>
      </c>
      <c r="C82" s="6">
        <v>0.42430555555555549</v>
      </c>
      <c r="D82" s="6">
        <v>0.44722222222222219</v>
      </c>
      <c r="E82" s="9">
        <f t="shared" si="22"/>
        <v>2.2916666666666696E-2</v>
      </c>
      <c r="N82" s="22" t="s">
        <v>104</v>
      </c>
      <c r="O82" s="23" t="s">
        <v>81</v>
      </c>
      <c r="P82" s="24">
        <v>0.73819444444444449</v>
      </c>
      <c r="Q82" s="30"/>
      <c r="R82" s="25">
        <f t="shared" si="29"/>
        <v>-0.73819444444444449</v>
      </c>
      <c r="S82" s="1"/>
      <c r="T82" t="e">
        <f t="shared" si="24"/>
        <v>#N/A</v>
      </c>
      <c r="U82" t="e">
        <f t="shared" si="25"/>
        <v>#N/A</v>
      </c>
      <c r="X82">
        <f>Table48[[#This Row],[Total Time]]*1.1</f>
        <v>-0.81201388888888903</v>
      </c>
      <c r="Y82" s="1">
        <f>Table48[[#This Row],[Total Time]]*0.9</f>
        <v>-0.66437500000000005</v>
      </c>
    </row>
    <row r="83" spans="1:25" ht="17" customHeight="1">
      <c r="A83" s="8" t="s">
        <v>103</v>
      </c>
      <c r="B83" s="5" t="s">
        <v>83</v>
      </c>
      <c r="C83" s="6">
        <v>0.42916666666666659</v>
      </c>
      <c r="D83" s="6">
        <v>0.45</v>
      </c>
      <c r="E83" s="9">
        <f t="shared" si="22"/>
        <v>2.0833333333333426E-2</v>
      </c>
      <c r="N83" s="26" t="s">
        <v>82</v>
      </c>
      <c r="O83" s="27" t="s">
        <v>81</v>
      </c>
      <c r="P83" s="28">
        <v>0.74375000000000002</v>
      </c>
      <c r="Q83" s="31"/>
      <c r="R83" s="29">
        <f t="shared" si="29"/>
        <v>-0.74375000000000002</v>
      </c>
      <c r="S83" s="1"/>
      <c r="T83" t="e">
        <f t="shared" si="24"/>
        <v>#N/A</v>
      </c>
      <c r="U83" t="e">
        <f t="shared" si="25"/>
        <v>#N/A</v>
      </c>
      <c r="X83">
        <f>Table48[[#This Row],[Total Time]]*1.1</f>
        <v>-0.8181250000000001</v>
      </c>
      <c r="Y83" s="1">
        <f>Table48[[#This Row],[Total Time]]*0.9</f>
        <v>-0.66937500000000005</v>
      </c>
    </row>
    <row r="84" spans="1:25" ht="17" customHeight="1">
      <c r="A84" s="8" t="s">
        <v>109</v>
      </c>
      <c r="B84" s="5" t="s">
        <v>83</v>
      </c>
      <c r="C84" s="6">
        <v>0.43263888888888891</v>
      </c>
      <c r="D84" s="6">
        <v>0.45763888888888887</v>
      </c>
      <c r="E84" s="9">
        <f t="shared" si="22"/>
        <v>2.4999999999999967E-2</v>
      </c>
      <c r="N84" s="22" t="s">
        <v>97</v>
      </c>
      <c r="O84" s="23" t="s">
        <v>81</v>
      </c>
      <c r="P84" s="24">
        <v>0.74861111111111112</v>
      </c>
      <c r="Q84" s="30"/>
      <c r="R84" s="25">
        <f t="shared" si="29"/>
        <v>-0.74861111111111112</v>
      </c>
      <c r="S84" s="1"/>
      <c r="T84" t="e">
        <f t="shared" si="24"/>
        <v>#N/A</v>
      </c>
      <c r="U84" t="e">
        <f t="shared" si="25"/>
        <v>#N/A</v>
      </c>
      <c r="X84">
        <f>Table48[[#This Row],[Total Time]]*1.1</f>
        <v>-0.82347222222222227</v>
      </c>
      <c r="Y84" s="1">
        <f>Table48[[#This Row],[Total Time]]*0.9</f>
        <v>-0.67375000000000007</v>
      </c>
    </row>
    <row r="85" spans="1:25" ht="17" customHeight="1">
      <c r="A85" s="8" t="s">
        <v>111</v>
      </c>
      <c r="B85" s="5" t="s">
        <v>83</v>
      </c>
      <c r="C85" s="6">
        <v>0.43888888888888888</v>
      </c>
      <c r="D85" s="6">
        <v>0.46180555555555558</v>
      </c>
      <c r="E85" s="9">
        <f t="shared" si="22"/>
        <v>2.2916666666666696E-2</v>
      </c>
      <c r="N85" s="32" t="s">
        <v>94</v>
      </c>
      <c r="O85" s="33" t="s">
        <v>81</v>
      </c>
      <c r="P85" s="34"/>
      <c r="Q85" s="34"/>
      <c r="R85" s="35">
        <f t="shared" si="29"/>
        <v>0</v>
      </c>
      <c r="S85" s="1"/>
      <c r="T85" t="e">
        <f t="shared" si="24"/>
        <v>#N/A</v>
      </c>
      <c r="U85" t="e">
        <f t="shared" si="25"/>
        <v>#N/A</v>
      </c>
      <c r="X85">
        <f>Table48[[#This Row],[Total Time]]*1.1</f>
        <v>0</v>
      </c>
      <c r="Y85" s="1">
        <f>Table48[[#This Row],[Total Time]]*0.9</f>
        <v>0</v>
      </c>
    </row>
    <row r="86" spans="1:25" ht="17" customHeight="1">
      <c r="A86" s="8" t="s">
        <v>114</v>
      </c>
      <c r="B86" s="5" t="s">
        <v>83</v>
      </c>
      <c r="C86" s="6">
        <v>0.44305555555555548</v>
      </c>
      <c r="D86" s="6">
        <v>0.46875</v>
      </c>
      <c r="E86" s="9">
        <f t="shared" si="22"/>
        <v>2.569444444444452E-2</v>
      </c>
    </row>
    <row r="87" spans="1:25" ht="17" customHeight="1">
      <c r="A87" s="8" t="s">
        <v>116</v>
      </c>
      <c r="B87" s="5" t="s">
        <v>83</v>
      </c>
      <c r="C87" s="6">
        <v>0.44791666666666669</v>
      </c>
      <c r="D87" s="6">
        <v>0.47361111111111109</v>
      </c>
      <c r="E87" s="9">
        <f t="shared" si="22"/>
        <v>2.5694444444444409E-2</v>
      </c>
    </row>
    <row r="88" spans="1:25" ht="17" customHeight="1">
      <c r="A88" s="8" t="s">
        <v>98</v>
      </c>
      <c r="B88" s="5" t="s">
        <v>83</v>
      </c>
      <c r="C88" s="6">
        <v>0.45277777777777778</v>
      </c>
      <c r="D88" s="6">
        <v>0.4777777777777778</v>
      </c>
      <c r="E88" s="9">
        <f t="shared" si="22"/>
        <v>2.5000000000000022E-2</v>
      </c>
    </row>
    <row r="89" spans="1:25" ht="17" customHeight="1">
      <c r="A89" s="8" t="s">
        <v>105</v>
      </c>
      <c r="B89" s="5" t="s">
        <v>83</v>
      </c>
      <c r="C89" s="6">
        <v>0.45763888888888887</v>
      </c>
      <c r="D89" s="6">
        <v>0.48402777777777778</v>
      </c>
      <c r="E89" s="9">
        <f t="shared" si="22"/>
        <v>2.6388888888888906E-2</v>
      </c>
    </row>
    <row r="90" spans="1:25" ht="17" customHeight="1">
      <c r="A90" s="8" t="s">
        <v>122</v>
      </c>
      <c r="B90" s="5" t="s">
        <v>83</v>
      </c>
      <c r="C90" s="6">
        <v>0.46319444444444452</v>
      </c>
      <c r="D90" s="6">
        <v>0.48472222222222222</v>
      </c>
      <c r="E90" s="9">
        <f t="shared" si="22"/>
        <v>2.1527777777777701E-2</v>
      </c>
    </row>
    <row r="91" spans="1:25" ht="17" customHeight="1">
      <c r="A91" s="8" t="s">
        <v>109</v>
      </c>
      <c r="B91" s="5" t="s">
        <v>83</v>
      </c>
      <c r="C91" s="6">
        <v>0.46736111111111112</v>
      </c>
      <c r="D91" s="6">
        <v>0.48958333333333331</v>
      </c>
      <c r="E91" s="9">
        <f t="shared" si="22"/>
        <v>2.2222222222222199E-2</v>
      </c>
    </row>
    <row r="92" spans="1:25" ht="17" customHeight="1">
      <c r="A92" s="8" t="s">
        <v>111</v>
      </c>
      <c r="B92" s="5" t="s">
        <v>83</v>
      </c>
      <c r="C92" s="6">
        <v>0.47291666666666671</v>
      </c>
      <c r="D92" s="6">
        <v>0.49513888888888891</v>
      </c>
      <c r="E92" s="9">
        <f t="shared" si="22"/>
        <v>2.2222222222222199E-2</v>
      </c>
    </row>
    <row r="93" spans="1:25" ht="17" customHeight="1">
      <c r="A93" s="8" t="s">
        <v>82</v>
      </c>
      <c r="B93" s="5" t="s">
        <v>83</v>
      </c>
      <c r="C93" s="6">
        <v>0.47430555555555548</v>
      </c>
      <c r="D93" s="6">
        <v>0.50138888888888888</v>
      </c>
      <c r="E93" s="9">
        <f t="shared" si="22"/>
        <v>2.7083333333333404E-2</v>
      </c>
    </row>
    <row r="94" spans="1:25" ht="17" customHeight="1">
      <c r="A94" s="8" t="s">
        <v>114</v>
      </c>
      <c r="B94" s="5" t="s">
        <v>83</v>
      </c>
      <c r="C94" s="6">
        <v>0.47708333333333341</v>
      </c>
      <c r="D94" s="6">
        <v>0.50347222222222221</v>
      </c>
      <c r="E94" s="9">
        <f t="shared" si="22"/>
        <v>2.6388888888888795E-2</v>
      </c>
    </row>
    <row r="95" spans="1:25" ht="17" customHeight="1">
      <c r="A95" s="8" t="s">
        <v>116</v>
      </c>
      <c r="B95" s="5" t="s">
        <v>83</v>
      </c>
      <c r="C95" s="6">
        <v>0.48194444444444451</v>
      </c>
      <c r="D95" s="6">
        <v>0.50972222222222219</v>
      </c>
      <c r="E95" s="9">
        <f t="shared" si="22"/>
        <v>2.7777777777777679E-2</v>
      </c>
    </row>
    <row r="96" spans="1:25" ht="17" customHeight="1">
      <c r="A96" s="8" t="s">
        <v>98</v>
      </c>
      <c r="B96" s="5" t="s">
        <v>83</v>
      </c>
      <c r="C96" s="6">
        <v>0.48680555555555549</v>
      </c>
      <c r="D96" s="6">
        <v>0.5131944444444444</v>
      </c>
      <c r="E96" s="9">
        <f t="shared" si="22"/>
        <v>2.6388888888888906E-2</v>
      </c>
    </row>
    <row r="97" spans="1:5" ht="17" customHeight="1">
      <c r="A97" s="8" t="s">
        <v>105</v>
      </c>
      <c r="B97" s="5" t="s">
        <v>83</v>
      </c>
      <c r="C97" s="6">
        <v>0.49236111111111108</v>
      </c>
      <c r="D97" s="7"/>
      <c r="E97" s="9">
        <f t="shared" si="22"/>
        <v>-0.49236111111111108</v>
      </c>
    </row>
    <row r="98" spans="1:5" ht="17" customHeight="1">
      <c r="A98" s="8" t="s">
        <v>109</v>
      </c>
      <c r="B98" s="5" t="s">
        <v>83</v>
      </c>
      <c r="C98" s="6">
        <v>0.50208333333333333</v>
      </c>
      <c r="D98" s="7"/>
      <c r="E98" s="9">
        <f t="shared" ref="E98:E103" si="30">D98-C98</f>
        <v>-0.50208333333333333</v>
      </c>
    </row>
    <row r="99" spans="1:5" ht="17" customHeight="1">
      <c r="A99" s="8" t="s">
        <v>111</v>
      </c>
      <c r="B99" s="5" t="s">
        <v>83</v>
      </c>
      <c r="C99" s="6">
        <v>0.50069444444444444</v>
      </c>
      <c r="D99" s="7"/>
      <c r="E99" s="9">
        <f t="shared" si="30"/>
        <v>-0.50069444444444444</v>
      </c>
    </row>
    <row r="100" spans="1:5" ht="17" customHeight="1">
      <c r="A100" s="8" t="s">
        <v>114</v>
      </c>
      <c r="B100" s="5" t="s">
        <v>83</v>
      </c>
      <c r="C100" s="6">
        <v>0.51111111111111107</v>
      </c>
      <c r="D100" s="7"/>
      <c r="E100" s="9">
        <f t="shared" si="30"/>
        <v>-0.51111111111111107</v>
      </c>
    </row>
    <row r="101" spans="1:5" ht="17" customHeight="1">
      <c r="A101" s="8" t="s">
        <v>116</v>
      </c>
      <c r="B101" s="5" t="s">
        <v>83</v>
      </c>
      <c r="C101" s="7"/>
      <c r="D101" s="7"/>
      <c r="E101" s="9">
        <f t="shared" si="30"/>
        <v>0</v>
      </c>
    </row>
    <row r="102" spans="1:5" ht="17" customHeight="1">
      <c r="A102" s="8" t="s">
        <v>98</v>
      </c>
      <c r="B102" s="5" t="s">
        <v>83</v>
      </c>
      <c r="C102" s="7"/>
      <c r="D102" s="7"/>
      <c r="E102" s="9">
        <f t="shared" si="30"/>
        <v>0</v>
      </c>
    </row>
    <row r="103" spans="1:5" ht="17" customHeight="1">
      <c r="A103" s="13" t="s">
        <v>122</v>
      </c>
      <c r="B103" s="14" t="s">
        <v>140</v>
      </c>
      <c r="C103" s="17">
        <v>0.49722222222222218</v>
      </c>
      <c r="D103" s="15"/>
      <c r="E103" s="16">
        <f t="shared" si="30"/>
        <v>-0.49722222222222218</v>
      </c>
    </row>
  </sheetData>
  <pageMargins left="0.7" right="0.7" top="0.75" bottom="0.75" header="0.3" footer="0.3"/>
  <drawing r:id="rId1"/>
  <tableParts count="4">
    <tablePart r:id="rId2"/>
    <tablePart r:id="rId3"/>
    <tablePart r:id="rId4"/>
    <tablePart r:id="rId5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E98"/>
  <sheetViews>
    <sheetView workbookViewId="0">
      <selection activeCell="D24" sqref="D24"/>
    </sheetView>
  </sheetViews>
  <sheetFormatPr baseColWidth="10" defaultRowHeight="16"/>
  <cols>
    <col min="1" max="1" width="25.83203125" bestFit="1" customWidth="1"/>
  </cols>
  <sheetData>
    <row r="1" spans="1:31">
      <c r="B1" s="85" t="s">
        <v>64</v>
      </c>
      <c r="C1" s="86"/>
      <c r="D1" s="86"/>
      <c r="E1" s="86"/>
      <c r="F1" s="86"/>
      <c r="G1" s="87"/>
      <c r="P1" t="s">
        <v>78</v>
      </c>
      <c r="Q1" t="s">
        <v>145</v>
      </c>
      <c r="T1" t="s">
        <v>77</v>
      </c>
      <c r="U1" t="s">
        <v>146</v>
      </c>
      <c r="Y1">
        <v>22</v>
      </c>
      <c r="Z1" t="s">
        <v>147</v>
      </c>
      <c r="AD1">
        <v>20</v>
      </c>
      <c r="AE1" t="s">
        <v>148</v>
      </c>
    </row>
    <row r="2" spans="1:31">
      <c r="B2" s="85" t="s">
        <v>77</v>
      </c>
      <c r="C2" s="86"/>
      <c r="D2" s="87"/>
      <c r="E2" s="85" t="s">
        <v>78</v>
      </c>
      <c r="F2" s="86"/>
      <c r="G2" s="87"/>
      <c r="H2" s="85">
        <v>20</v>
      </c>
      <c r="I2" s="86"/>
      <c r="J2" s="87"/>
      <c r="K2" s="85">
        <v>22</v>
      </c>
      <c r="L2" s="86"/>
      <c r="M2" s="87"/>
      <c r="Q2" t="s">
        <v>149</v>
      </c>
      <c r="U2" t="s">
        <v>150</v>
      </c>
      <c r="Z2" t="s">
        <v>151</v>
      </c>
      <c r="AE2" t="s">
        <v>152</v>
      </c>
    </row>
    <row r="3" spans="1:31">
      <c r="B3" s="44" t="s">
        <v>153</v>
      </c>
      <c r="C3" s="44" t="s">
        <v>154</v>
      </c>
      <c r="D3" s="43" t="s">
        <v>28</v>
      </c>
      <c r="E3" s="44" t="s">
        <v>154</v>
      </c>
      <c r="F3" s="44" t="s">
        <v>153</v>
      </c>
      <c r="G3" s="43" t="s">
        <v>28</v>
      </c>
      <c r="H3" s="44" t="s">
        <v>154</v>
      </c>
      <c r="I3" s="44" t="s">
        <v>153</v>
      </c>
      <c r="J3" s="43" t="s">
        <v>28</v>
      </c>
      <c r="K3" s="44" t="s">
        <v>154</v>
      </c>
      <c r="L3" s="44" t="s">
        <v>153</v>
      </c>
      <c r="M3" s="43" t="s">
        <v>28</v>
      </c>
      <c r="Q3" t="s">
        <v>155</v>
      </c>
      <c r="U3" t="s">
        <v>156</v>
      </c>
      <c r="Z3" t="s">
        <v>157</v>
      </c>
      <c r="AE3" t="s">
        <v>157</v>
      </c>
    </row>
    <row r="4" spans="1:31">
      <c r="A4" s="45" t="s">
        <v>158</v>
      </c>
      <c r="B4" s="44">
        <v>5</v>
      </c>
      <c r="C4" s="44">
        <v>5.8</v>
      </c>
      <c r="D4" s="43">
        <f>SUM(B4:C4)</f>
        <v>10.8</v>
      </c>
      <c r="E4" s="44">
        <v>5.8</v>
      </c>
      <c r="F4" s="44">
        <v>5.5</v>
      </c>
      <c r="G4" s="43">
        <f>SUM(E4:F4)</f>
        <v>11.3</v>
      </c>
      <c r="H4" s="44">
        <v>5.95</v>
      </c>
      <c r="I4" s="44">
        <v>6.44</v>
      </c>
      <c r="J4" s="43">
        <f>SUM(H4:I4)</f>
        <v>12.39</v>
      </c>
      <c r="K4" s="44">
        <v>9.4499999999999993</v>
      </c>
      <c r="L4" s="44">
        <v>11.27</v>
      </c>
      <c r="M4" s="43">
        <f>SUM(K4:L4)</f>
        <v>20.72</v>
      </c>
      <c r="Q4" t="s">
        <v>159</v>
      </c>
      <c r="U4" t="s">
        <v>160</v>
      </c>
      <c r="Z4" t="s">
        <v>159</v>
      </c>
      <c r="AE4" t="s">
        <v>161</v>
      </c>
    </row>
    <row r="5" spans="1:31">
      <c r="A5" s="45" t="s">
        <v>162</v>
      </c>
      <c r="B5" s="44">
        <v>6</v>
      </c>
      <c r="C5" s="44">
        <v>5</v>
      </c>
      <c r="D5" s="43">
        <f>SUM(B5:C5)</f>
        <v>11</v>
      </c>
      <c r="E5" s="44">
        <v>3</v>
      </c>
      <c r="F5" s="44">
        <v>3</v>
      </c>
      <c r="G5" s="43">
        <f>SUM(E5:F5)</f>
        <v>6</v>
      </c>
      <c r="H5" s="44">
        <v>10</v>
      </c>
      <c r="I5" s="44">
        <v>8</v>
      </c>
      <c r="J5" s="43">
        <f>SUM(H5:I5)</f>
        <v>18</v>
      </c>
      <c r="K5" s="44">
        <v>17</v>
      </c>
      <c r="L5" s="44">
        <v>15</v>
      </c>
      <c r="M5" s="43">
        <f>SUM(K5:L5)</f>
        <v>32</v>
      </c>
      <c r="Q5" t="s">
        <v>163</v>
      </c>
      <c r="U5" t="s">
        <v>164</v>
      </c>
      <c r="Z5" t="s">
        <v>165</v>
      </c>
      <c r="AE5" t="s">
        <v>163</v>
      </c>
    </row>
    <row r="6" spans="1:31">
      <c r="A6" s="45" t="s">
        <v>166</v>
      </c>
      <c r="B6" s="44">
        <v>6</v>
      </c>
      <c r="C6" s="44">
        <v>9</v>
      </c>
      <c r="D6" s="43">
        <f>SUM(B6:C6)</f>
        <v>15</v>
      </c>
      <c r="E6" s="44">
        <v>2</v>
      </c>
      <c r="F6" s="44">
        <v>2</v>
      </c>
      <c r="G6" s="43">
        <f>SUM(E6:F6)</f>
        <v>4</v>
      </c>
      <c r="H6" s="44">
        <v>9</v>
      </c>
      <c r="I6" s="44">
        <v>9</v>
      </c>
      <c r="J6" s="43">
        <f>SUM(H6:I6)</f>
        <v>18</v>
      </c>
      <c r="K6" s="44">
        <v>2</v>
      </c>
      <c r="L6" s="44">
        <v>1</v>
      </c>
      <c r="M6" s="43">
        <f>SUM(K6:L6)</f>
        <v>3</v>
      </c>
      <c r="Q6" t="s">
        <v>167</v>
      </c>
      <c r="U6" t="s">
        <v>163</v>
      </c>
      <c r="Z6" t="s">
        <v>168</v>
      </c>
      <c r="AE6" t="s">
        <v>169</v>
      </c>
    </row>
    <row r="7" spans="1:31">
      <c r="A7" s="45" t="s">
        <v>170</v>
      </c>
      <c r="B7" s="44">
        <v>7</v>
      </c>
      <c r="C7" s="44">
        <v>8</v>
      </c>
      <c r="D7" s="43">
        <f>SUM(B7:C7)</f>
        <v>15</v>
      </c>
      <c r="E7" s="44">
        <v>8</v>
      </c>
      <c r="F7" s="44">
        <v>6</v>
      </c>
      <c r="G7" s="43">
        <f>SUM(E7:F7)</f>
        <v>14</v>
      </c>
      <c r="H7" s="44">
        <v>4</v>
      </c>
      <c r="I7" s="44">
        <v>8</v>
      </c>
      <c r="J7" s="43">
        <f>SUM(H7:I7)</f>
        <v>12</v>
      </c>
      <c r="K7" s="44">
        <v>2</v>
      </c>
      <c r="L7" s="44">
        <v>1</v>
      </c>
      <c r="M7" s="43">
        <f>SUM(K7:L7)</f>
        <v>3</v>
      </c>
      <c r="Q7" t="s">
        <v>171</v>
      </c>
      <c r="U7" t="s">
        <v>172</v>
      </c>
      <c r="Z7" t="s">
        <v>173</v>
      </c>
      <c r="AE7" t="s">
        <v>174</v>
      </c>
    </row>
    <row r="8" spans="1:31">
      <c r="A8" s="45" t="s">
        <v>175</v>
      </c>
      <c r="B8" s="44">
        <v>15</v>
      </c>
      <c r="C8" s="44">
        <v>15</v>
      </c>
      <c r="D8" s="43">
        <f>SUM(B8:C8)</f>
        <v>30</v>
      </c>
      <c r="E8" s="44">
        <v>15</v>
      </c>
      <c r="F8" s="44">
        <v>18</v>
      </c>
      <c r="G8" s="43">
        <f>SUM(E8:F8)</f>
        <v>33</v>
      </c>
      <c r="H8" s="44">
        <v>18</v>
      </c>
      <c r="I8" s="44">
        <v>17</v>
      </c>
      <c r="J8" s="43">
        <f>SUM(H8:I8)</f>
        <v>35</v>
      </c>
      <c r="K8" s="44">
        <v>28</v>
      </c>
      <c r="L8" s="44">
        <v>37</v>
      </c>
      <c r="M8" s="43">
        <f>SUM(K8:L8)</f>
        <v>65</v>
      </c>
      <c r="Q8" t="s">
        <v>176</v>
      </c>
      <c r="U8" t="s">
        <v>171</v>
      </c>
      <c r="Z8" t="s">
        <v>177</v>
      </c>
      <c r="AE8" t="s">
        <v>178</v>
      </c>
    </row>
    <row r="9" spans="1:31">
      <c r="A9" s="76" t="s">
        <v>28</v>
      </c>
      <c r="B9">
        <f t="shared" ref="B9:M9" si="0">SUM(B5:B8)</f>
        <v>34</v>
      </c>
      <c r="C9">
        <f t="shared" si="0"/>
        <v>37</v>
      </c>
      <c r="D9">
        <f t="shared" si="0"/>
        <v>71</v>
      </c>
      <c r="E9">
        <f t="shared" si="0"/>
        <v>28</v>
      </c>
      <c r="F9">
        <f t="shared" si="0"/>
        <v>29</v>
      </c>
      <c r="G9">
        <f t="shared" si="0"/>
        <v>57</v>
      </c>
      <c r="H9">
        <f t="shared" si="0"/>
        <v>41</v>
      </c>
      <c r="I9">
        <f t="shared" si="0"/>
        <v>42</v>
      </c>
      <c r="J9">
        <f t="shared" si="0"/>
        <v>83</v>
      </c>
      <c r="K9">
        <f t="shared" si="0"/>
        <v>49</v>
      </c>
      <c r="L9">
        <f t="shared" si="0"/>
        <v>54</v>
      </c>
      <c r="M9">
        <f t="shared" si="0"/>
        <v>103</v>
      </c>
      <c r="Q9" t="s">
        <v>179</v>
      </c>
      <c r="U9" t="s">
        <v>176</v>
      </c>
      <c r="Z9" t="s">
        <v>180</v>
      </c>
      <c r="AE9" t="s">
        <v>181</v>
      </c>
    </row>
    <row r="10" spans="1:31">
      <c r="A10" s="76" t="s">
        <v>182</v>
      </c>
      <c r="J10">
        <v>13</v>
      </c>
      <c r="M10">
        <v>8</v>
      </c>
      <c r="Q10" t="s">
        <v>183</v>
      </c>
      <c r="U10" t="s">
        <v>179</v>
      </c>
      <c r="Z10" t="s">
        <v>184</v>
      </c>
      <c r="AE10" t="s">
        <v>185</v>
      </c>
    </row>
    <row r="11" spans="1:31">
      <c r="Q11" t="s">
        <v>186</v>
      </c>
      <c r="U11" t="s">
        <v>183</v>
      </c>
      <c r="Z11" t="s">
        <v>187</v>
      </c>
      <c r="AE11" t="s">
        <v>188</v>
      </c>
    </row>
    <row r="12" spans="1:31">
      <c r="B12" s="88" t="s">
        <v>64</v>
      </c>
      <c r="C12" s="89"/>
      <c r="D12" s="89"/>
      <c r="E12" s="89"/>
      <c r="Q12" t="s">
        <v>189</v>
      </c>
      <c r="U12" t="s">
        <v>186</v>
      </c>
      <c r="Z12" t="s">
        <v>190</v>
      </c>
      <c r="AE12" t="s">
        <v>191</v>
      </c>
    </row>
    <row r="13" spans="1:31">
      <c r="B13" s="42" t="s">
        <v>77</v>
      </c>
      <c r="C13" s="42" t="s">
        <v>78</v>
      </c>
      <c r="D13" s="42">
        <v>20</v>
      </c>
      <c r="E13" s="42">
        <v>22</v>
      </c>
      <c r="Q13" t="s">
        <v>192</v>
      </c>
      <c r="U13" t="s">
        <v>193</v>
      </c>
      <c r="Z13" t="s">
        <v>194</v>
      </c>
      <c r="AE13" t="s">
        <v>195</v>
      </c>
    </row>
    <row r="14" spans="1:31">
      <c r="A14" s="42" t="s">
        <v>158</v>
      </c>
      <c r="B14">
        <f>10.3</f>
        <v>10.3</v>
      </c>
      <c r="C14">
        <f>G4</f>
        <v>11.3</v>
      </c>
      <c r="D14">
        <f>J4</f>
        <v>12.39</v>
      </c>
      <c r="E14">
        <f>M4</f>
        <v>20.72</v>
      </c>
      <c r="Q14" t="s">
        <v>196</v>
      </c>
      <c r="U14" t="s">
        <v>192</v>
      </c>
      <c r="Z14" t="s">
        <v>197</v>
      </c>
      <c r="AE14" t="s">
        <v>198</v>
      </c>
    </row>
    <row r="15" spans="1:31">
      <c r="A15" s="42" t="s">
        <v>199</v>
      </c>
      <c r="B15">
        <v>99.75</v>
      </c>
      <c r="C15">
        <v>103.125</v>
      </c>
      <c r="D15">
        <v>13</v>
      </c>
      <c r="E15">
        <v>8</v>
      </c>
      <c r="Q15" t="s">
        <v>200</v>
      </c>
      <c r="U15" t="s">
        <v>201</v>
      </c>
      <c r="Z15" t="s">
        <v>202</v>
      </c>
      <c r="AE15" t="s">
        <v>203</v>
      </c>
    </row>
    <row r="16" spans="1:31">
      <c r="A16" s="42" t="s">
        <v>162</v>
      </c>
      <c r="B16">
        <f>D5</f>
        <v>11</v>
      </c>
      <c r="C16">
        <f>G5</f>
        <v>6</v>
      </c>
      <c r="D16">
        <f>J5</f>
        <v>18</v>
      </c>
      <c r="E16">
        <f>M5</f>
        <v>32</v>
      </c>
      <c r="Q16" t="s">
        <v>204</v>
      </c>
      <c r="U16" t="s">
        <v>205</v>
      </c>
      <c r="Z16" t="s">
        <v>206</v>
      </c>
      <c r="AE16" t="s">
        <v>207</v>
      </c>
    </row>
    <row r="17" spans="1:31">
      <c r="A17" s="42" t="s">
        <v>208</v>
      </c>
      <c r="B17">
        <f>D6</f>
        <v>15</v>
      </c>
      <c r="C17">
        <f>G6</f>
        <v>4</v>
      </c>
      <c r="D17">
        <f>J6</f>
        <v>18</v>
      </c>
      <c r="E17">
        <f>M6</f>
        <v>3</v>
      </c>
      <c r="Q17" t="s">
        <v>209</v>
      </c>
      <c r="U17" t="s">
        <v>210</v>
      </c>
      <c r="Z17" t="s">
        <v>211</v>
      </c>
      <c r="AE17" t="s">
        <v>212</v>
      </c>
    </row>
    <row r="18" spans="1:31">
      <c r="A18" s="42" t="s">
        <v>170</v>
      </c>
      <c r="B18">
        <f>D7</f>
        <v>15</v>
      </c>
      <c r="C18">
        <f>G7</f>
        <v>14</v>
      </c>
      <c r="D18">
        <f>J7</f>
        <v>12</v>
      </c>
      <c r="E18">
        <f>M7</f>
        <v>3</v>
      </c>
      <c r="Q18" t="s">
        <v>213</v>
      </c>
      <c r="U18" t="s">
        <v>214</v>
      </c>
      <c r="Z18" t="s">
        <v>215</v>
      </c>
      <c r="AE18" t="s">
        <v>216</v>
      </c>
    </row>
    <row r="19" spans="1:31">
      <c r="A19" s="42" t="s">
        <v>175</v>
      </c>
      <c r="B19">
        <f>D8</f>
        <v>30</v>
      </c>
      <c r="C19">
        <f>G8</f>
        <v>33</v>
      </c>
      <c r="D19">
        <f>J8</f>
        <v>35</v>
      </c>
      <c r="E19">
        <f>M8</f>
        <v>65</v>
      </c>
      <c r="Q19" t="s">
        <v>217</v>
      </c>
      <c r="U19" t="s">
        <v>218</v>
      </c>
      <c r="Z19" t="s">
        <v>219</v>
      </c>
      <c r="AE19" t="s">
        <v>220</v>
      </c>
    </row>
    <row r="20" spans="1:31">
      <c r="A20" s="42" t="s">
        <v>221</v>
      </c>
      <c r="B20">
        <v>21.98</v>
      </c>
      <c r="C20">
        <v>24.62</v>
      </c>
      <c r="D20">
        <v>26.25</v>
      </c>
      <c r="E20">
        <v>44.11</v>
      </c>
      <c r="Q20" t="s">
        <v>222</v>
      </c>
      <c r="U20" t="s">
        <v>223</v>
      </c>
      <c r="Z20" t="s">
        <v>224</v>
      </c>
      <c r="AE20" t="s">
        <v>225</v>
      </c>
    </row>
    <row r="21" spans="1:31">
      <c r="Q21" t="s">
        <v>226</v>
      </c>
      <c r="U21" t="s">
        <v>227</v>
      </c>
      <c r="Z21" t="s">
        <v>228</v>
      </c>
      <c r="AE21" t="s">
        <v>229</v>
      </c>
    </row>
    <row r="22" spans="1:31">
      <c r="A22" s="42" t="s">
        <v>230</v>
      </c>
      <c r="B22">
        <f>B20/B14</f>
        <v>2.1339805825242717</v>
      </c>
      <c r="C22">
        <f>C20/C14</f>
        <v>2.1787610619469024</v>
      </c>
      <c r="D22">
        <f>D20/D14</f>
        <v>2.1186440677966099</v>
      </c>
      <c r="E22">
        <f>E20/E14</f>
        <v>2.1288610038610041</v>
      </c>
      <c r="Q22" t="s">
        <v>207</v>
      </c>
      <c r="U22" t="s">
        <v>231</v>
      </c>
      <c r="Z22" t="s">
        <v>232</v>
      </c>
      <c r="AE22" t="s">
        <v>233</v>
      </c>
    </row>
    <row r="23" spans="1:31">
      <c r="Q23" t="s">
        <v>234</v>
      </c>
      <c r="U23" t="s">
        <v>235</v>
      </c>
      <c r="Z23" t="s">
        <v>236</v>
      </c>
      <c r="AE23" t="s">
        <v>237</v>
      </c>
    </row>
    <row r="24" spans="1:31">
      <c r="Q24" t="s">
        <v>238</v>
      </c>
      <c r="U24" t="s">
        <v>239</v>
      </c>
      <c r="Z24" t="s">
        <v>240</v>
      </c>
      <c r="AE24" t="s">
        <v>241</v>
      </c>
    </row>
    <row r="25" spans="1:31">
      <c r="Q25" t="s">
        <v>242</v>
      </c>
      <c r="U25" t="s">
        <v>243</v>
      </c>
      <c r="Z25" t="s">
        <v>244</v>
      </c>
      <c r="AE25" t="s">
        <v>245</v>
      </c>
    </row>
    <row r="26" spans="1:31">
      <c r="Q26" t="s">
        <v>246</v>
      </c>
      <c r="U26" t="s">
        <v>247</v>
      </c>
      <c r="Z26" t="s">
        <v>248</v>
      </c>
      <c r="AE26" t="s">
        <v>249</v>
      </c>
    </row>
    <row r="27" spans="1:31">
      <c r="Q27" t="s">
        <v>250</v>
      </c>
      <c r="U27" t="s">
        <v>251</v>
      </c>
      <c r="Z27" t="s">
        <v>252</v>
      </c>
      <c r="AE27" t="s">
        <v>253</v>
      </c>
    </row>
    <row r="28" spans="1:31">
      <c r="Q28" t="s">
        <v>254</v>
      </c>
      <c r="U28" t="s">
        <v>255</v>
      </c>
      <c r="Z28" t="s">
        <v>256</v>
      </c>
      <c r="AE28" t="s">
        <v>257</v>
      </c>
    </row>
    <row r="29" spans="1:31">
      <c r="Q29" t="s">
        <v>258</v>
      </c>
      <c r="U29" t="s">
        <v>259</v>
      </c>
      <c r="Z29" t="s">
        <v>260</v>
      </c>
      <c r="AE29" t="s">
        <v>261</v>
      </c>
    </row>
    <row r="30" spans="1:31">
      <c r="Q30" t="s">
        <v>262</v>
      </c>
      <c r="U30" t="s">
        <v>263</v>
      </c>
      <c r="Z30" t="s">
        <v>264</v>
      </c>
      <c r="AE30" t="s">
        <v>265</v>
      </c>
    </row>
    <row r="31" spans="1:31">
      <c r="Q31" t="s">
        <v>266</v>
      </c>
      <c r="U31" t="s">
        <v>267</v>
      </c>
      <c r="Z31" t="s">
        <v>268</v>
      </c>
      <c r="AE31" t="s">
        <v>269</v>
      </c>
    </row>
    <row r="32" spans="1:31">
      <c r="Q32" t="s">
        <v>270</v>
      </c>
      <c r="U32" t="s">
        <v>271</v>
      </c>
      <c r="Z32" t="s">
        <v>272</v>
      </c>
      <c r="AE32" t="s">
        <v>273</v>
      </c>
    </row>
    <row r="33" spans="17:31">
      <c r="Q33" t="s">
        <v>274</v>
      </c>
      <c r="U33" t="s">
        <v>275</v>
      </c>
      <c r="Z33" t="s">
        <v>276</v>
      </c>
      <c r="AE33" t="s">
        <v>277</v>
      </c>
    </row>
    <row r="34" spans="17:31">
      <c r="Q34" t="s">
        <v>278</v>
      </c>
      <c r="U34" t="s">
        <v>279</v>
      </c>
      <c r="Z34" t="s">
        <v>280</v>
      </c>
      <c r="AE34" t="s">
        <v>281</v>
      </c>
    </row>
    <row r="35" spans="17:31">
      <c r="Q35" t="s">
        <v>282</v>
      </c>
      <c r="U35" t="s">
        <v>283</v>
      </c>
      <c r="Z35" t="s">
        <v>284</v>
      </c>
      <c r="AE35" t="s">
        <v>285</v>
      </c>
    </row>
    <row r="36" spans="17:31">
      <c r="Q36" t="s">
        <v>286</v>
      </c>
      <c r="U36" t="s">
        <v>287</v>
      </c>
      <c r="Z36" t="s">
        <v>288</v>
      </c>
      <c r="AE36" t="s">
        <v>289</v>
      </c>
    </row>
    <row r="37" spans="17:31">
      <c r="Q37" t="s">
        <v>290</v>
      </c>
      <c r="U37" t="s">
        <v>291</v>
      </c>
      <c r="Z37" t="s">
        <v>292</v>
      </c>
      <c r="AE37" t="s">
        <v>293</v>
      </c>
    </row>
    <row r="38" spans="17:31">
      <c r="Q38" t="s">
        <v>294</v>
      </c>
      <c r="U38" t="s">
        <v>295</v>
      </c>
      <c r="Z38" t="s">
        <v>296</v>
      </c>
      <c r="AE38" t="s">
        <v>297</v>
      </c>
    </row>
    <row r="39" spans="17:31">
      <c r="Q39" t="s">
        <v>298</v>
      </c>
      <c r="U39" t="s">
        <v>299</v>
      </c>
      <c r="Z39" t="s">
        <v>300</v>
      </c>
      <c r="AE39" t="s">
        <v>301</v>
      </c>
    </row>
    <row r="40" spans="17:31">
      <c r="Q40" t="s">
        <v>302</v>
      </c>
      <c r="U40" t="s">
        <v>303</v>
      </c>
      <c r="Z40" t="s">
        <v>304</v>
      </c>
      <c r="AE40" t="s">
        <v>305</v>
      </c>
    </row>
    <row r="41" spans="17:31">
      <c r="Q41" t="s">
        <v>306</v>
      </c>
      <c r="U41" t="s">
        <v>307</v>
      </c>
      <c r="Z41" t="s">
        <v>308</v>
      </c>
      <c r="AE41" t="s">
        <v>309</v>
      </c>
    </row>
    <row r="42" spans="17:31">
      <c r="Q42" t="s">
        <v>310</v>
      </c>
      <c r="U42" t="s">
        <v>311</v>
      </c>
      <c r="Z42" t="s">
        <v>312</v>
      </c>
      <c r="AE42" t="s">
        <v>313</v>
      </c>
    </row>
    <row r="43" spans="17:31">
      <c r="Q43" t="s">
        <v>314</v>
      </c>
      <c r="U43" t="s">
        <v>315</v>
      </c>
      <c r="Z43" t="s">
        <v>316</v>
      </c>
      <c r="AE43" t="s">
        <v>317</v>
      </c>
    </row>
    <row r="44" spans="17:31">
      <c r="Q44" t="s">
        <v>318</v>
      </c>
      <c r="U44" t="s">
        <v>319</v>
      </c>
      <c r="Z44" t="s">
        <v>320</v>
      </c>
      <c r="AE44" t="s">
        <v>321</v>
      </c>
    </row>
    <row r="45" spans="17:31">
      <c r="Q45" t="s">
        <v>322</v>
      </c>
      <c r="U45" t="s">
        <v>323</v>
      </c>
      <c r="Z45" t="s">
        <v>324</v>
      </c>
      <c r="AE45" t="s">
        <v>325</v>
      </c>
    </row>
    <row r="46" spans="17:31">
      <c r="Q46" t="s">
        <v>326</v>
      </c>
      <c r="U46" t="s">
        <v>327</v>
      </c>
      <c r="Z46" t="s">
        <v>328</v>
      </c>
      <c r="AE46" t="s">
        <v>329</v>
      </c>
    </row>
    <row r="47" spans="17:31">
      <c r="Q47" t="s">
        <v>330</v>
      </c>
      <c r="U47" t="s">
        <v>331</v>
      </c>
      <c r="Z47" t="s">
        <v>332</v>
      </c>
      <c r="AE47" t="s">
        <v>333</v>
      </c>
    </row>
    <row r="48" spans="17:31">
      <c r="Q48" t="s">
        <v>334</v>
      </c>
      <c r="U48" t="s">
        <v>335</v>
      </c>
      <c r="Z48" t="s">
        <v>336</v>
      </c>
      <c r="AE48" t="s">
        <v>337</v>
      </c>
    </row>
    <row r="49" spans="17:31">
      <c r="Q49" t="s">
        <v>338</v>
      </c>
      <c r="U49" t="s">
        <v>339</v>
      </c>
      <c r="Z49" t="s">
        <v>340</v>
      </c>
      <c r="AE49" t="s">
        <v>341</v>
      </c>
    </row>
    <row r="50" spans="17:31">
      <c r="Q50" t="s">
        <v>342</v>
      </c>
      <c r="U50" t="s">
        <v>343</v>
      </c>
      <c r="Z50" t="s">
        <v>344</v>
      </c>
      <c r="AE50" t="s">
        <v>345</v>
      </c>
    </row>
    <row r="51" spans="17:31">
      <c r="Q51" t="s">
        <v>346</v>
      </c>
      <c r="U51" t="s">
        <v>347</v>
      </c>
      <c r="Z51" t="s">
        <v>348</v>
      </c>
      <c r="AE51" t="s">
        <v>349</v>
      </c>
    </row>
    <row r="52" spans="17:31">
      <c r="Q52" t="s">
        <v>350</v>
      </c>
      <c r="U52" t="s">
        <v>351</v>
      </c>
      <c r="Z52" t="s">
        <v>352</v>
      </c>
      <c r="AE52" t="s">
        <v>353</v>
      </c>
    </row>
    <row r="53" spans="17:31">
      <c r="Q53" t="s">
        <v>354</v>
      </c>
      <c r="U53" t="s">
        <v>355</v>
      </c>
      <c r="Z53" t="s">
        <v>356</v>
      </c>
      <c r="AE53" t="s">
        <v>357</v>
      </c>
    </row>
    <row r="54" spans="17:31">
      <c r="Q54" t="s">
        <v>358</v>
      </c>
      <c r="U54" t="s">
        <v>359</v>
      </c>
      <c r="Z54" t="s">
        <v>360</v>
      </c>
      <c r="AE54" t="s">
        <v>361</v>
      </c>
    </row>
    <row r="55" spans="17:31">
      <c r="Q55" t="s">
        <v>362</v>
      </c>
      <c r="U55" t="s">
        <v>363</v>
      </c>
      <c r="Z55" t="s">
        <v>364</v>
      </c>
      <c r="AE55" t="s">
        <v>365</v>
      </c>
    </row>
    <row r="56" spans="17:31">
      <c r="Q56" t="s">
        <v>366</v>
      </c>
      <c r="U56" t="s">
        <v>367</v>
      </c>
      <c r="Z56" t="s">
        <v>368</v>
      </c>
      <c r="AE56" t="s">
        <v>369</v>
      </c>
    </row>
    <row r="57" spans="17:31">
      <c r="Q57" t="s">
        <v>370</v>
      </c>
      <c r="U57" t="s">
        <v>371</v>
      </c>
      <c r="Z57" t="s">
        <v>372</v>
      </c>
      <c r="AE57" t="s">
        <v>373</v>
      </c>
    </row>
    <row r="58" spans="17:31">
      <c r="Q58" t="s">
        <v>374</v>
      </c>
      <c r="U58" t="s">
        <v>338</v>
      </c>
      <c r="Z58" t="s">
        <v>375</v>
      </c>
      <c r="AE58" t="s">
        <v>376</v>
      </c>
    </row>
    <row r="59" spans="17:31">
      <c r="Q59" t="s">
        <v>377</v>
      </c>
      <c r="U59" t="s">
        <v>342</v>
      </c>
      <c r="Z59" t="s">
        <v>378</v>
      </c>
      <c r="AE59" t="s">
        <v>379</v>
      </c>
    </row>
    <row r="60" spans="17:31">
      <c r="Q60" t="s">
        <v>380</v>
      </c>
      <c r="U60" t="s">
        <v>346</v>
      </c>
      <c r="Z60" t="s">
        <v>381</v>
      </c>
      <c r="AE60" t="s">
        <v>382</v>
      </c>
    </row>
    <row r="61" spans="17:31">
      <c r="U61" t="s">
        <v>350</v>
      </c>
      <c r="Z61" t="s">
        <v>383</v>
      </c>
      <c r="AE61" t="s">
        <v>384</v>
      </c>
    </row>
    <row r="62" spans="17:31">
      <c r="U62" t="s">
        <v>354</v>
      </c>
      <c r="Z62" t="s">
        <v>385</v>
      </c>
      <c r="AE62" t="s">
        <v>386</v>
      </c>
    </row>
    <row r="63" spans="17:31">
      <c r="U63" t="s">
        <v>358</v>
      </c>
      <c r="Z63" t="s">
        <v>387</v>
      </c>
      <c r="AE63" t="s">
        <v>388</v>
      </c>
    </row>
    <row r="64" spans="17:31">
      <c r="U64" t="s">
        <v>362</v>
      </c>
      <c r="Z64" t="s">
        <v>389</v>
      </c>
      <c r="AE64" t="s">
        <v>390</v>
      </c>
    </row>
    <row r="65" spans="1:31">
      <c r="U65" t="s">
        <v>391</v>
      </c>
      <c r="Z65" t="s">
        <v>392</v>
      </c>
      <c r="AE65" t="s">
        <v>393</v>
      </c>
    </row>
    <row r="66" spans="1:31">
      <c r="U66" t="s">
        <v>370</v>
      </c>
      <c r="Z66" t="s">
        <v>394</v>
      </c>
      <c r="AE66" t="s">
        <v>395</v>
      </c>
    </row>
    <row r="67" spans="1:31">
      <c r="U67" t="s">
        <v>396</v>
      </c>
      <c r="Z67" t="s">
        <v>397</v>
      </c>
      <c r="AE67" t="s">
        <v>398</v>
      </c>
    </row>
    <row r="68" spans="1:31">
      <c r="U68" t="s">
        <v>399</v>
      </c>
      <c r="Z68" t="s">
        <v>400</v>
      </c>
      <c r="AE68" t="s">
        <v>401</v>
      </c>
    </row>
    <row r="69" spans="1:31">
      <c r="U69" t="s">
        <v>402</v>
      </c>
      <c r="Z69" t="s">
        <v>403</v>
      </c>
      <c r="AE69" t="s">
        <v>404</v>
      </c>
    </row>
    <row r="70" spans="1:31">
      <c r="Z70" t="s">
        <v>405</v>
      </c>
      <c r="AE70" t="s">
        <v>406</v>
      </c>
    </row>
    <row r="71" spans="1:31">
      <c r="Z71" t="s">
        <v>407</v>
      </c>
      <c r="AE71" t="s">
        <v>294</v>
      </c>
    </row>
    <row r="72" spans="1:31">
      <c r="Z72" t="s">
        <v>408</v>
      </c>
      <c r="AE72" t="s">
        <v>409</v>
      </c>
    </row>
    <row r="73" spans="1:31">
      <c r="Z73" t="s">
        <v>410</v>
      </c>
      <c r="AE73" t="s">
        <v>411</v>
      </c>
    </row>
    <row r="74" spans="1:31">
      <c r="Z74" t="s">
        <v>412</v>
      </c>
      <c r="AE74" t="s">
        <v>413</v>
      </c>
    </row>
    <row r="75" spans="1:31">
      <c r="Z75" t="s">
        <v>414</v>
      </c>
      <c r="AE75" t="s">
        <v>415</v>
      </c>
    </row>
    <row r="76" spans="1:31">
      <c r="Z76" t="s">
        <v>416</v>
      </c>
      <c r="AE76" t="s">
        <v>417</v>
      </c>
    </row>
    <row r="77" spans="1:31">
      <c r="N77" t="s">
        <v>28</v>
      </c>
      <c r="Z77" t="s">
        <v>418</v>
      </c>
      <c r="AE77" t="s">
        <v>419</v>
      </c>
    </row>
    <row r="78" spans="1:31">
      <c r="A78" s="76" t="s">
        <v>420</v>
      </c>
      <c r="D78">
        <v>7.6951350371640101</v>
      </c>
      <c r="G78">
        <v>8.4936998302628108</v>
      </c>
      <c r="J78">
        <v>9.2069849324599105</v>
      </c>
      <c r="M78">
        <v>13.8550978628406</v>
      </c>
      <c r="N78">
        <f>SUM(D78,G78,J78,M78)</f>
        <v>39.250917662727332</v>
      </c>
      <c r="Z78" t="s">
        <v>421</v>
      </c>
      <c r="AE78" t="s">
        <v>422</v>
      </c>
    </row>
    <row r="79" spans="1:31">
      <c r="A79" s="42" t="s">
        <v>423</v>
      </c>
      <c r="D79">
        <f>D78/N78</f>
        <v>0.19604981221805445</v>
      </c>
      <c r="G79">
        <f>G78/N78</f>
        <v>0.21639493637440296</v>
      </c>
      <c r="J79">
        <f>J78/N78</f>
        <v>0.23456738034950103</v>
      </c>
      <c r="M79">
        <f>M78/N78</f>
        <v>0.35298787105804152</v>
      </c>
      <c r="Z79" t="s">
        <v>424</v>
      </c>
      <c r="AE79" t="s">
        <v>425</v>
      </c>
    </row>
    <row r="80" spans="1:31">
      <c r="A80" s="42" t="s">
        <v>426</v>
      </c>
      <c r="B80" t="s">
        <v>427</v>
      </c>
      <c r="C80" t="s">
        <v>428</v>
      </c>
      <c r="D80" t="s">
        <v>429</v>
      </c>
      <c r="E80" t="s">
        <v>430</v>
      </c>
      <c r="F80" t="s">
        <v>431</v>
      </c>
      <c r="G80" t="s">
        <v>432</v>
      </c>
      <c r="H80" t="s">
        <v>433</v>
      </c>
      <c r="Z80" t="s">
        <v>434</v>
      </c>
      <c r="AE80" t="s">
        <v>362</v>
      </c>
    </row>
    <row r="81" spans="1:31">
      <c r="A81" s="42">
        <v>30</v>
      </c>
      <c r="B81">
        <f>A81/2.237</f>
        <v>13.410818059901654</v>
      </c>
      <c r="D81">
        <v>32.9</v>
      </c>
      <c r="G81" t="s">
        <v>435</v>
      </c>
      <c r="H81" t="s">
        <v>436</v>
      </c>
      <c r="Z81" t="s">
        <v>437</v>
      </c>
      <c r="AE81" t="s">
        <v>438</v>
      </c>
    </row>
    <row r="82" spans="1:31">
      <c r="A82" s="42"/>
      <c r="G82" t="s">
        <v>439</v>
      </c>
      <c r="Z82" t="s">
        <v>440</v>
      </c>
      <c r="AE82" t="s">
        <v>370</v>
      </c>
    </row>
    <row r="83" spans="1:31">
      <c r="A83" s="42">
        <v>30</v>
      </c>
      <c r="B83">
        <f t="shared" ref="B83:B95" si="1">A83/2.237</f>
        <v>13.410818059901654</v>
      </c>
      <c r="C83">
        <v>260</v>
      </c>
      <c r="D83">
        <v>47</v>
      </c>
      <c r="E83">
        <f>D83-D81</f>
        <v>14.100000000000001</v>
      </c>
      <c r="F83">
        <f t="shared" ref="F83:F95" si="2">ASIN(E83/C83)</f>
        <v>5.4257386373468282E-2</v>
      </c>
      <c r="G83" t="s">
        <v>441</v>
      </c>
      <c r="H83" t="s">
        <v>442</v>
      </c>
      <c r="Z83" t="s">
        <v>443</v>
      </c>
      <c r="AE83" t="s">
        <v>444</v>
      </c>
    </row>
    <row r="84" spans="1:31">
      <c r="A84" s="42">
        <v>30</v>
      </c>
      <c r="B84">
        <f t="shared" si="1"/>
        <v>13.410818059901654</v>
      </c>
      <c r="C84">
        <v>270</v>
      </c>
      <c r="D84">
        <v>74.5</v>
      </c>
      <c r="E84">
        <f t="shared" ref="E84:E95" si="3">D84-D83</f>
        <v>27.5</v>
      </c>
      <c r="F84">
        <f t="shared" si="2"/>
        <v>0.10202877748078214</v>
      </c>
      <c r="G84" t="s">
        <v>445</v>
      </c>
      <c r="Z84" t="s">
        <v>446</v>
      </c>
      <c r="AE84" t="s">
        <v>447</v>
      </c>
    </row>
    <row r="85" spans="1:31">
      <c r="A85" s="42">
        <v>30</v>
      </c>
      <c r="B85">
        <f t="shared" si="1"/>
        <v>13.410818059901654</v>
      </c>
      <c r="C85">
        <v>250</v>
      </c>
      <c r="D85">
        <v>96.5</v>
      </c>
      <c r="E85">
        <f t="shared" si="3"/>
        <v>22</v>
      </c>
      <c r="F85">
        <f t="shared" si="2"/>
        <v>8.8113976299719274E-2</v>
      </c>
      <c r="G85" t="s">
        <v>448</v>
      </c>
      <c r="Z85" t="s">
        <v>449</v>
      </c>
      <c r="AE85" t="s">
        <v>450</v>
      </c>
    </row>
    <row r="86" spans="1:31">
      <c r="A86" s="42">
        <v>30</v>
      </c>
      <c r="B86">
        <f t="shared" si="1"/>
        <v>13.410818059901654</v>
      </c>
      <c r="C86">
        <v>230</v>
      </c>
      <c r="D86">
        <v>119.8</v>
      </c>
      <c r="E86">
        <f t="shared" si="3"/>
        <v>23.299999999999997</v>
      </c>
      <c r="F86">
        <f t="shared" si="2"/>
        <v>0.10147842679628367</v>
      </c>
      <c r="G86" t="s">
        <v>451</v>
      </c>
      <c r="Z86" t="s">
        <v>452</v>
      </c>
    </row>
    <row r="87" spans="1:31">
      <c r="A87" s="42">
        <v>30</v>
      </c>
      <c r="B87">
        <f t="shared" si="1"/>
        <v>13.410818059901654</v>
      </c>
      <c r="C87">
        <v>210</v>
      </c>
      <c r="D87">
        <v>135.30000000000001</v>
      </c>
      <c r="E87">
        <f t="shared" si="3"/>
        <v>15.500000000000014</v>
      </c>
      <c r="F87">
        <f t="shared" si="2"/>
        <v>7.3876705789648264E-2</v>
      </c>
      <c r="G87" t="s">
        <v>453</v>
      </c>
      <c r="Z87" t="s">
        <v>454</v>
      </c>
    </row>
    <row r="88" spans="1:31">
      <c r="A88" s="42">
        <v>20</v>
      </c>
      <c r="B88">
        <f t="shared" si="1"/>
        <v>8.9405453732677689</v>
      </c>
      <c r="C88">
        <v>260</v>
      </c>
      <c r="D88">
        <v>159.6</v>
      </c>
      <c r="E88">
        <f t="shared" si="3"/>
        <v>24.299999999999983</v>
      </c>
      <c r="F88">
        <f t="shared" si="2"/>
        <v>9.3598141446323724E-2</v>
      </c>
      <c r="G88" t="s">
        <v>455</v>
      </c>
      <c r="Z88" t="s">
        <v>456</v>
      </c>
    </row>
    <row r="89" spans="1:31">
      <c r="A89" s="42">
        <v>20</v>
      </c>
      <c r="B89">
        <f t="shared" si="1"/>
        <v>8.9405453732677689</v>
      </c>
      <c r="C89">
        <v>190</v>
      </c>
      <c r="D89">
        <v>173.4</v>
      </c>
      <c r="E89">
        <f t="shared" si="3"/>
        <v>13.800000000000011</v>
      </c>
      <c r="F89">
        <f t="shared" si="2"/>
        <v>7.2695590476171912E-2</v>
      </c>
      <c r="G89" t="s">
        <v>457</v>
      </c>
      <c r="Z89" t="s">
        <v>458</v>
      </c>
    </row>
    <row r="90" spans="1:31">
      <c r="A90" s="42">
        <v>30</v>
      </c>
      <c r="B90">
        <f t="shared" si="1"/>
        <v>13.410818059901654</v>
      </c>
      <c r="C90">
        <v>350</v>
      </c>
      <c r="D90">
        <v>181.7</v>
      </c>
      <c r="E90">
        <f t="shared" si="3"/>
        <v>8.2999999999999829</v>
      </c>
      <c r="F90">
        <f t="shared" si="2"/>
        <v>2.3716508966950035E-2</v>
      </c>
      <c r="G90" t="s">
        <v>459</v>
      </c>
      <c r="Z90" t="s">
        <v>460</v>
      </c>
    </row>
    <row r="91" spans="1:31">
      <c r="A91" s="42">
        <v>30</v>
      </c>
      <c r="B91">
        <f t="shared" si="1"/>
        <v>13.410818059901654</v>
      </c>
      <c r="C91">
        <v>140</v>
      </c>
      <c r="D91">
        <v>182.2</v>
      </c>
      <c r="E91">
        <f t="shared" si="3"/>
        <v>0.5</v>
      </c>
      <c r="F91">
        <f t="shared" si="2"/>
        <v>3.5714361637947936E-3</v>
      </c>
      <c r="G91" t="s">
        <v>461</v>
      </c>
      <c r="H91" t="s">
        <v>462</v>
      </c>
      <c r="Z91" t="s">
        <v>463</v>
      </c>
    </row>
    <row r="92" spans="1:31">
      <c r="A92" s="42">
        <v>30</v>
      </c>
      <c r="B92">
        <f t="shared" si="1"/>
        <v>13.410818059901654</v>
      </c>
      <c r="C92">
        <v>280</v>
      </c>
      <c r="D92">
        <v>182.8</v>
      </c>
      <c r="E92">
        <f t="shared" si="3"/>
        <v>0.60000000000002274</v>
      </c>
      <c r="F92">
        <f t="shared" si="2"/>
        <v>2.142858782802304E-3</v>
      </c>
      <c r="G92" t="s">
        <v>464</v>
      </c>
      <c r="Z92" t="s">
        <v>465</v>
      </c>
    </row>
    <row r="93" spans="1:31">
      <c r="A93" s="42">
        <v>10</v>
      </c>
      <c r="B93">
        <f t="shared" si="1"/>
        <v>4.4702726866338844</v>
      </c>
      <c r="C93">
        <v>150</v>
      </c>
      <c r="D93">
        <v>180</v>
      </c>
      <c r="E93">
        <f t="shared" si="3"/>
        <v>-2.8000000000000114</v>
      </c>
      <c r="F93">
        <f t="shared" si="2"/>
        <v>-1.8667750886063664E-2</v>
      </c>
      <c r="G93" t="s">
        <v>466</v>
      </c>
      <c r="Z93" t="s">
        <v>467</v>
      </c>
    </row>
    <row r="94" spans="1:31">
      <c r="A94" s="42">
        <v>10</v>
      </c>
      <c r="B94">
        <f t="shared" si="1"/>
        <v>4.4702726866338844</v>
      </c>
      <c r="C94">
        <v>210</v>
      </c>
      <c r="D94">
        <v>184</v>
      </c>
      <c r="E94">
        <f t="shared" si="3"/>
        <v>4</v>
      </c>
      <c r="F94">
        <f t="shared" si="2"/>
        <v>1.9048771019170657E-2</v>
      </c>
      <c r="G94" t="s">
        <v>468</v>
      </c>
      <c r="Z94" t="s">
        <v>469</v>
      </c>
    </row>
    <row r="95" spans="1:31">
      <c r="A95" s="42">
        <v>10</v>
      </c>
      <c r="B95">
        <f t="shared" si="1"/>
        <v>4.4702726866338844</v>
      </c>
      <c r="C95">
        <v>40</v>
      </c>
      <c r="D95">
        <v>184.7</v>
      </c>
      <c r="E95">
        <f t="shared" si="3"/>
        <v>0.69999999999998863</v>
      </c>
      <c r="F95">
        <f t="shared" si="2"/>
        <v>1.7500893352286974E-2</v>
      </c>
      <c r="G95" t="s">
        <v>470</v>
      </c>
      <c r="Z95" t="s">
        <v>471</v>
      </c>
    </row>
    <row r="96" spans="1:31">
      <c r="Z96" t="s">
        <v>472</v>
      </c>
    </row>
    <row r="97" spans="4:26">
      <c r="D97">
        <v>7.6951350371640101</v>
      </c>
      <c r="E97">
        <v>8.4936998302628108</v>
      </c>
      <c r="F97">
        <v>9.2069849324599105</v>
      </c>
      <c r="G97">
        <v>13.8550978628406</v>
      </c>
      <c r="Z97" t="s">
        <v>473</v>
      </c>
    </row>
    <row r="98" spans="4:26">
      <c r="Z98" t="s">
        <v>474</v>
      </c>
    </row>
  </sheetData>
  <mergeCells count="6">
    <mergeCell ref="K2:M2"/>
    <mergeCell ref="B12:E12"/>
    <mergeCell ref="B1:G1"/>
    <mergeCell ref="B2:D2"/>
    <mergeCell ref="E2:G2"/>
    <mergeCell ref="H2:J2"/>
  </mergeCells>
  <pageMargins left="0.7" right="0.7" top="0.75" bottom="0.75" header="0.3" footer="0.3"/>
  <pageSetup paperSize="9" orientation="portrait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:S74"/>
  <sheetViews>
    <sheetView topLeftCell="B1" workbookViewId="0">
      <selection activeCell="Q5" sqref="Q5:R8"/>
    </sheetView>
  </sheetViews>
  <sheetFormatPr baseColWidth="10" defaultRowHeight="16"/>
  <cols>
    <col min="1" max="1" width="25.5" bestFit="1" customWidth="1"/>
    <col min="2" max="2" width="53.6640625" bestFit="1" customWidth="1"/>
    <col min="13" max="13" width="25.5" bestFit="1" customWidth="1"/>
    <col min="14" max="14" width="17" bestFit="1" customWidth="1"/>
    <col min="15" max="15" width="23.5" bestFit="1" customWidth="1"/>
  </cols>
  <sheetData>
    <row r="2" spans="1:19">
      <c r="H2" s="85" t="s">
        <v>533</v>
      </c>
      <c r="I2" s="87"/>
    </row>
    <row r="3" spans="1:19">
      <c r="C3" s="85" t="s">
        <v>533</v>
      </c>
      <c r="D3" s="86"/>
      <c r="E3" s="87"/>
      <c r="H3" s="51" t="s">
        <v>90</v>
      </c>
      <c r="I3" s="51" t="s">
        <v>91</v>
      </c>
      <c r="Q3" t="s">
        <v>1143</v>
      </c>
    </row>
    <row r="4" spans="1:19">
      <c r="A4" s="45" t="s">
        <v>480</v>
      </c>
      <c r="B4" s="45" t="s">
        <v>534</v>
      </c>
      <c r="C4" s="43" t="s">
        <v>90</v>
      </c>
      <c r="D4" s="43" t="s">
        <v>91</v>
      </c>
      <c r="E4" s="43" t="s">
        <v>535</v>
      </c>
      <c r="G4" s="45" t="s">
        <v>536</v>
      </c>
      <c r="H4" s="44">
        <f>MAX($C$5:$C$67)</f>
        <v>18</v>
      </c>
      <c r="I4" s="44">
        <f>MAX($D$5:$D$67)</f>
        <v>24</v>
      </c>
      <c r="J4" s="1">
        <f t="shared" ref="J4:J32" si="0">H4/24</f>
        <v>0.75</v>
      </c>
      <c r="K4" s="1">
        <f t="shared" ref="K4:K32" si="1">I4/24</f>
        <v>1</v>
      </c>
      <c r="M4" s="45" t="s">
        <v>480</v>
      </c>
      <c r="N4" s="43" t="s">
        <v>498</v>
      </c>
      <c r="O4" s="43" t="s">
        <v>499</v>
      </c>
      <c r="P4" t="s">
        <v>504</v>
      </c>
      <c r="Q4" t="s">
        <v>1144</v>
      </c>
      <c r="R4" t="s">
        <v>1145</v>
      </c>
    </row>
    <row r="5" spans="1:19">
      <c r="A5" s="90" t="s">
        <v>484</v>
      </c>
      <c r="B5" s="46" t="s">
        <v>537</v>
      </c>
      <c r="C5" s="44">
        <v>15</v>
      </c>
      <c r="D5" s="44">
        <v>20</v>
      </c>
      <c r="E5" s="44">
        <f t="shared" ref="E5:E19" si="2">AVERAGE(C5:D5)</f>
        <v>17.5</v>
      </c>
      <c r="G5" s="45" t="s">
        <v>538</v>
      </c>
      <c r="H5" s="44">
        <f>MIN($C$5:$C$67)</f>
        <v>8</v>
      </c>
      <c r="I5" s="44">
        <f>MIN($D$5:$D$67)</f>
        <v>10</v>
      </c>
      <c r="J5" s="1">
        <f t="shared" si="0"/>
        <v>0.33333333333333331</v>
      </c>
      <c r="K5" s="1">
        <f t="shared" si="1"/>
        <v>0.41666666666666669</v>
      </c>
      <c r="M5" s="46" t="s">
        <v>484</v>
      </c>
      <c r="N5" s="44">
        <v>15</v>
      </c>
      <c r="O5" s="44">
        <v>7</v>
      </c>
      <c r="P5">
        <v>14</v>
      </c>
      <c r="Q5">
        <v>14</v>
      </c>
      <c r="R5">
        <v>6</v>
      </c>
      <c r="S5" t="s">
        <v>1142</v>
      </c>
    </row>
    <row r="6" spans="1:19">
      <c r="A6" s="91"/>
      <c r="B6" s="46" t="s">
        <v>539</v>
      </c>
      <c r="C6" s="44">
        <v>8</v>
      </c>
      <c r="D6" s="44">
        <v>12</v>
      </c>
      <c r="E6" s="44">
        <f t="shared" si="2"/>
        <v>10</v>
      </c>
      <c r="G6" s="45" t="s">
        <v>540</v>
      </c>
      <c r="H6" s="44">
        <f>AVERAGE($C$5:$C$67)</f>
        <v>12.6</v>
      </c>
      <c r="I6" s="44">
        <f>AVERAGE($D$5:$D$67)</f>
        <v>17.5</v>
      </c>
      <c r="J6" s="1">
        <f t="shared" si="0"/>
        <v>0.52500000000000002</v>
      </c>
      <c r="K6" s="1">
        <f t="shared" si="1"/>
        <v>0.72916666666666663</v>
      </c>
      <c r="M6" s="46" t="s">
        <v>487</v>
      </c>
      <c r="N6" s="44">
        <v>20</v>
      </c>
      <c r="O6" s="44">
        <v>11</v>
      </c>
      <c r="P6">
        <v>0</v>
      </c>
      <c r="Q6">
        <v>75</v>
      </c>
      <c r="R6">
        <v>13</v>
      </c>
      <c r="S6" t="s">
        <v>1146</v>
      </c>
    </row>
    <row r="7" spans="1:19">
      <c r="A7" s="91"/>
      <c r="B7" s="46" t="s">
        <v>541</v>
      </c>
      <c r="C7" s="44">
        <v>15</v>
      </c>
      <c r="D7" s="44">
        <v>20</v>
      </c>
      <c r="E7" s="44">
        <f t="shared" si="2"/>
        <v>17.5</v>
      </c>
      <c r="G7" s="45" t="s">
        <v>542</v>
      </c>
      <c r="H7" s="44">
        <f>MEDIAN($C$5:$C$67)</f>
        <v>12</v>
      </c>
      <c r="I7" s="44">
        <f>MEDIAN($D$5:$D$67)</f>
        <v>20</v>
      </c>
      <c r="J7" s="1">
        <f t="shared" si="0"/>
        <v>0.5</v>
      </c>
      <c r="K7" s="1">
        <f t="shared" si="1"/>
        <v>0.83333333333333337</v>
      </c>
      <c r="M7" s="46" t="s">
        <v>488</v>
      </c>
      <c r="N7" s="44">
        <v>6</v>
      </c>
      <c r="O7" s="44">
        <v>4</v>
      </c>
      <c r="P7">
        <v>0</v>
      </c>
      <c r="Q7">
        <v>14</v>
      </c>
      <c r="R7">
        <v>5</v>
      </c>
      <c r="S7" t="s">
        <v>1147</v>
      </c>
    </row>
    <row r="8" spans="1:19">
      <c r="A8" s="91"/>
      <c r="B8" s="46" t="s">
        <v>543</v>
      </c>
      <c r="C8" s="44">
        <v>15</v>
      </c>
      <c r="D8" s="44">
        <v>20</v>
      </c>
      <c r="E8" s="44">
        <f t="shared" si="2"/>
        <v>17.5</v>
      </c>
      <c r="G8" s="45" t="s">
        <v>544</v>
      </c>
      <c r="H8" s="44">
        <f>MODE($C$5:$C$67)</f>
        <v>15</v>
      </c>
      <c r="I8" s="44">
        <f>MODE($D$5:$D$67)</f>
        <v>20</v>
      </c>
      <c r="J8" s="1">
        <f t="shared" si="0"/>
        <v>0.625</v>
      </c>
      <c r="K8" s="1">
        <f t="shared" si="1"/>
        <v>0.83333333333333337</v>
      </c>
      <c r="M8" s="46" t="s">
        <v>489</v>
      </c>
      <c r="N8" s="44">
        <v>19</v>
      </c>
      <c r="O8" s="44">
        <v>10</v>
      </c>
      <c r="P8">
        <v>13</v>
      </c>
      <c r="Q8">
        <v>16</v>
      </c>
      <c r="R8">
        <v>6</v>
      </c>
      <c r="S8" t="s">
        <v>1148</v>
      </c>
    </row>
    <row r="9" spans="1:19">
      <c r="A9" s="91"/>
      <c r="B9" s="46" t="s">
        <v>545</v>
      </c>
      <c r="C9" s="44">
        <v>15</v>
      </c>
      <c r="D9" s="44">
        <v>22</v>
      </c>
      <c r="E9" s="44">
        <f t="shared" si="2"/>
        <v>18.5</v>
      </c>
      <c r="G9" s="45"/>
      <c r="H9" s="44"/>
      <c r="I9" s="44"/>
      <c r="J9" s="1">
        <f t="shared" si="0"/>
        <v>0</v>
      </c>
      <c r="K9" s="1">
        <f t="shared" si="1"/>
        <v>0</v>
      </c>
      <c r="M9" s="46" t="s">
        <v>507</v>
      </c>
      <c r="N9" s="44">
        <f>SUM(N5:N8)</f>
        <v>60</v>
      </c>
      <c r="O9" s="44">
        <f>SUM(O5:O8)</f>
        <v>32</v>
      </c>
      <c r="P9" s="44">
        <f>SUM(P5:P8)</f>
        <v>27</v>
      </c>
    </row>
    <row r="10" spans="1:19">
      <c r="A10" s="91"/>
      <c r="B10" s="46" t="s">
        <v>546</v>
      </c>
      <c r="C10" s="44">
        <v>15</v>
      </c>
      <c r="D10" s="44">
        <v>20</v>
      </c>
      <c r="E10" s="44">
        <f t="shared" si="2"/>
        <v>17.5</v>
      </c>
      <c r="G10" s="45" t="s">
        <v>547</v>
      </c>
      <c r="H10" s="44">
        <f>MAX($C$5:$C$19)</f>
        <v>15</v>
      </c>
      <c r="I10" s="44">
        <f>MAX($D$5:$D$19)</f>
        <v>22</v>
      </c>
      <c r="J10" s="1">
        <f t="shared" si="0"/>
        <v>0.625</v>
      </c>
      <c r="K10" s="1">
        <f t="shared" si="1"/>
        <v>0.91666666666666663</v>
      </c>
    </row>
    <row r="11" spans="1:19">
      <c r="A11" s="91"/>
      <c r="B11" s="46" t="s">
        <v>548</v>
      </c>
      <c r="C11" s="44">
        <v>15</v>
      </c>
      <c r="D11" s="44">
        <v>20</v>
      </c>
      <c r="E11" s="44">
        <f t="shared" si="2"/>
        <v>17.5</v>
      </c>
      <c r="G11" s="45" t="s">
        <v>549</v>
      </c>
      <c r="H11" s="44">
        <f>MIN($C$5:$C$19)</f>
        <v>8</v>
      </c>
      <c r="I11" s="44">
        <f>MIN($D$5:$D$19)</f>
        <v>12</v>
      </c>
      <c r="J11" s="1">
        <f t="shared" si="0"/>
        <v>0.33333333333333331</v>
      </c>
      <c r="K11" s="1">
        <f t="shared" si="1"/>
        <v>0.5</v>
      </c>
      <c r="N11">
        <f>N9/P9</f>
        <v>2.2222222222222223</v>
      </c>
    </row>
    <row r="12" spans="1:19">
      <c r="A12" s="91"/>
      <c r="B12" s="46" t="s">
        <v>550</v>
      </c>
      <c r="C12" s="44">
        <v>15</v>
      </c>
      <c r="D12" s="44">
        <v>20</v>
      </c>
      <c r="E12" s="44">
        <f t="shared" si="2"/>
        <v>17.5</v>
      </c>
      <c r="G12" s="45" t="s">
        <v>551</v>
      </c>
      <c r="H12" s="44">
        <f>AVERAGE($C$5:$C$19)</f>
        <v>14.533333333333333</v>
      </c>
      <c r="I12" s="44">
        <f>AVERAGE($D$5:$D$19)</f>
        <v>19.733333333333334</v>
      </c>
      <c r="J12" s="1">
        <f t="shared" si="0"/>
        <v>0.60555555555555551</v>
      </c>
      <c r="K12" s="1">
        <f t="shared" si="1"/>
        <v>0.8222222222222223</v>
      </c>
    </row>
    <row r="13" spans="1:19">
      <c r="A13" s="91"/>
      <c r="B13" s="46" t="s">
        <v>552</v>
      </c>
      <c r="C13" s="44">
        <v>15</v>
      </c>
      <c r="D13" s="44">
        <v>20</v>
      </c>
      <c r="E13" s="44">
        <f t="shared" si="2"/>
        <v>17.5</v>
      </c>
      <c r="G13" s="45" t="s">
        <v>553</v>
      </c>
      <c r="H13" s="44">
        <f>MEDIAN($C$5:$C$19)</f>
        <v>15</v>
      </c>
      <c r="I13" s="44">
        <f>MEDIAN($D$5:$D$19)</f>
        <v>20</v>
      </c>
      <c r="J13" s="1">
        <f t="shared" si="0"/>
        <v>0.625</v>
      </c>
      <c r="K13" s="1">
        <f t="shared" si="1"/>
        <v>0.83333333333333337</v>
      </c>
    </row>
    <row r="14" spans="1:19">
      <c r="A14" s="91"/>
      <c r="B14" s="46" t="s">
        <v>554</v>
      </c>
      <c r="C14" s="44">
        <v>15</v>
      </c>
      <c r="D14" s="44">
        <v>20</v>
      </c>
      <c r="E14" s="44">
        <f t="shared" si="2"/>
        <v>17.5</v>
      </c>
      <c r="G14" s="45" t="s">
        <v>555</v>
      </c>
      <c r="H14" s="44">
        <f>MODE($C$5:$C$19)</f>
        <v>15</v>
      </c>
      <c r="I14" s="44">
        <f>MODE($D$5:$D$19)</f>
        <v>20</v>
      </c>
      <c r="J14" s="1">
        <f t="shared" si="0"/>
        <v>0.625</v>
      </c>
      <c r="K14" s="1">
        <f t="shared" si="1"/>
        <v>0.83333333333333337</v>
      </c>
    </row>
    <row r="15" spans="1:19">
      <c r="A15" s="91"/>
      <c r="B15" s="46" t="s">
        <v>556</v>
      </c>
      <c r="C15" s="44">
        <v>15</v>
      </c>
      <c r="D15" s="44">
        <v>20</v>
      </c>
      <c r="E15" s="44">
        <f t="shared" si="2"/>
        <v>17.5</v>
      </c>
      <c r="G15" s="45"/>
      <c r="H15" s="44"/>
      <c r="I15" s="44"/>
      <c r="J15" s="1">
        <f t="shared" si="0"/>
        <v>0</v>
      </c>
      <c r="K15" s="1">
        <f t="shared" si="1"/>
        <v>0</v>
      </c>
    </row>
    <row r="16" spans="1:19">
      <c r="A16" s="91"/>
      <c r="B16" s="46" t="s">
        <v>557</v>
      </c>
      <c r="C16" s="44">
        <v>15</v>
      </c>
      <c r="D16" s="44">
        <v>20</v>
      </c>
      <c r="E16" s="44">
        <f t="shared" si="2"/>
        <v>17.5</v>
      </c>
      <c r="G16" s="45" t="s">
        <v>558</v>
      </c>
      <c r="H16" s="44">
        <f>MAX($C$21:$C$40)</f>
        <v>15</v>
      </c>
      <c r="I16" s="44">
        <f>MAX($D$21:$D$40)</f>
        <v>17</v>
      </c>
      <c r="J16" s="1">
        <f t="shared" si="0"/>
        <v>0.625</v>
      </c>
      <c r="K16" s="1">
        <f t="shared" si="1"/>
        <v>0.70833333333333337</v>
      </c>
    </row>
    <row r="17" spans="1:11">
      <c r="A17" s="91"/>
      <c r="B17" s="46" t="s">
        <v>559</v>
      </c>
      <c r="C17" s="44">
        <v>15</v>
      </c>
      <c r="D17" s="44">
        <v>20</v>
      </c>
      <c r="E17" s="44">
        <f t="shared" si="2"/>
        <v>17.5</v>
      </c>
      <c r="G17" s="45" t="s">
        <v>560</v>
      </c>
      <c r="H17" s="44">
        <f>MIN($C$21:$C$40)</f>
        <v>8</v>
      </c>
      <c r="I17" s="44">
        <f>MIN($D$21:$D$40)</f>
        <v>10</v>
      </c>
      <c r="J17" s="1">
        <f t="shared" si="0"/>
        <v>0.33333333333333331</v>
      </c>
      <c r="K17" s="1">
        <f t="shared" si="1"/>
        <v>0.41666666666666669</v>
      </c>
    </row>
    <row r="18" spans="1:11">
      <c r="A18" s="91"/>
      <c r="B18" s="46" t="s">
        <v>561</v>
      </c>
      <c r="C18" s="44">
        <v>15</v>
      </c>
      <c r="D18" s="44">
        <v>20</v>
      </c>
      <c r="E18" s="44">
        <f t="shared" si="2"/>
        <v>17.5</v>
      </c>
      <c r="G18" s="45" t="s">
        <v>562</v>
      </c>
      <c r="H18" s="44">
        <f>AVERAGE($C$21:$C$40)</f>
        <v>10.15</v>
      </c>
      <c r="I18" s="44">
        <f>AVERAGE($D$21:$D$40)</f>
        <v>12.8</v>
      </c>
      <c r="J18" s="1">
        <f t="shared" si="0"/>
        <v>0.42291666666666666</v>
      </c>
      <c r="K18" s="1">
        <f t="shared" si="1"/>
        <v>0.53333333333333333</v>
      </c>
    </row>
    <row r="19" spans="1:11">
      <c r="A19" s="92"/>
      <c r="B19" s="46" t="s">
        <v>563</v>
      </c>
      <c r="C19" s="44">
        <v>15</v>
      </c>
      <c r="D19" s="44">
        <v>22</v>
      </c>
      <c r="E19" s="44">
        <f t="shared" si="2"/>
        <v>18.5</v>
      </c>
      <c r="G19" s="45" t="s">
        <v>564</v>
      </c>
      <c r="H19" s="44">
        <f>MEDIAN($C$21:$C$40)</f>
        <v>10</v>
      </c>
      <c r="I19" s="44">
        <f>MEDIAN($D$21:$D$40)</f>
        <v>12</v>
      </c>
      <c r="J19" s="1">
        <f t="shared" si="0"/>
        <v>0.41666666666666669</v>
      </c>
      <c r="K19" s="1">
        <f t="shared" si="1"/>
        <v>0.5</v>
      </c>
    </row>
    <row r="20" spans="1:11">
      <c r="A20" s="46"/>
      <c r="B20" s="46"/>
      <c r="C20" s="44"/>
      <c r="D20" s="44"/>
      <c r="E20" s="44"/>
      <c r="G20" s="45" t="s">
        <v>565</v>
      </c>
      <c r="H20" s="44">
        <f>MODE($C$21:$C$40)</f>
        <v>10</v>
      </c>
      <c r="I20" s="44">
        <f>MODE($D$21:$D$40)</f>
        <v>15</v>
      </c>
      <c r="J20" s="1">
        <f t="shared" si="0"/>
        <v>0.41666666666666669</v>
      </c>
      <c r="K20" s="1">
        <f t="shared" si="1"/>
        <v>0.625</v>
      </c>
    </row>
    <row r="21" spans="1:11">
      <c r="A21" s="90" t="s">
        <v>487</v>
      </c>
      <c r="B21" s="46" t="s">
        <v>566</v>
      </c>
      <c r="C21" s="44">
        <v>10</v>
      </c>
      <c r="D21" s="44">
        <v>10</v>
      </c>
      <c r="E21" s="44">
        <f t="shared" ref="E21:E40" si="3">AVERAGE(C21:D21)</f>
        <v>10</v>
      </c>
      <c r="G21" s="45"/>
      <c r="H21" s="44"/>
      <c r="I21" s="44"/>
      <c r="J21" s="1">
        <f t="shared" si="0"/>
        <v>0</v>
      </c>
      <c r="K21" s="1">
        <f t="shared" si="1"/>
        <v>0</v>
      </c>
    </row>
    <row r="22" spans="1:11">
      <c r="A22" s="91"/>
      <c r="B22" s="46" t="s">
        <v>567</v>
      </c>
      <c r="C22" s="44">
        <v>12</v>
      </c>
      <c r="D22" s="44">
        <v>15</v>
      </c>
      <c r="E22" s="44">
        <f t="shared" si="3"/>
        <v>13.5</v>
      </c>
      <c r="G22" s="45" t="s">
        <v>568</v>
      </c>
      <c r="H22" s="44">
        <f>MAX($C$42:$C$47)</f>
        <v>10</v>
      </c>
      <c r="I22" s="44">
        <f>MAX($D$42:$D$47)</f>
        <v>20</v>
      </c>
      <c r="J22" s="1">
        <f t="shared" si="0"/>
        <v>0.41666666666666669</v>
      </c>
      <c r="K22" s="1">
        <f t="shared" si="1"/>
        <v>0.83333333333333337</v>
      </c>
    </row>
    <row r="23" spans="1:11">
      <c r="A23" s="91"/>
      <c r="B23" s="46" t="s">
        <v>569</v>
      </c>
      <c r="C23" s="44">
        <v>12</v>
      </c>
      <c r="D23" s="44">
        <v>15</v>
      </c>
      <c r="E23" s="44">
        <f t="shared" si="3"/>
        <v>13.5</v>
      </c>
      <c r="G23" s="45" t="s">
        <v>570</v>
      </c>
      <c r="H23" s="44">
        <f>MIN($C$42:$C$47)</f>
        <v>10</v>
      </c>
      <c r="I23" s="44">
        <f>MIN($D$42:$D$47)</f>
        <v>12</v>
      </c>
      <c r="J23" s="1">
        <f t="shared" si="0"/>
        <v>0.41666666666666669</v>
      </c>
      <c r="K23" s="1">
        <f t="shared" si="1"/>
        <v>0.5</v>
      </c>
    </row>
    <row r="24" spans="1:11">
      <c r="A24" s="91"/>
      <c r="B24" s="46" t="s">
        <v>571</v>
      </c>
      <c r="C24" s="44">
        <v>12</v>
      </c>
      <c r="D24" s="44">
        <v>15</v>
      </c>
      <c r="E24" s="44">
        <f t="shared" si="3"/>
        <v>13.5</v>
      </c>
      <c r="G24" s="45" t="s">
        <v>572</v>
      </c>
      <c r="H24" s="44">
        <f>AVERAGE($C$42:$C$47)</f>
        <v>10</v>
      </c>
      <c r="I24" s="44">
        <f>AVERAGE($D$42:$D$47)</f>
        <v>18.666666666666668</v>
      </c>
      <c r="J24" s="1">
        <f t="shared" si="0"/>
        <v>0.41666666666666669</v>
      </c>
      <c r="K24" s="1">
        <f t="shared" si="1"/>
        <v>0.77777777777777779</v>
      </c>
    </row>
    <row r="25" spans="1:11">
      <c r="A25" s="91"/>
      <c r="B25" s="46" t="s">
        <v>573</v>
      </c>
      <c r="C25" s="44">
        <v>10</v>
      </c>
      <c r="D25" s="44">
        <v>15</v>
      </c>
      <c r="E25" s="44">
        <f t="shared" si="3"/>
        <v>12.5</v>
      </c>
      <c r="G25" s="45" t="s">
        <v>574</v>
      </c>
      <c r="H25" s="44">
        <f>MEDIAN($C$42:$C$47)</f>
        <v>10</v>
      </c>
      <c r="I25" s="44">
        <f>MEDIAN($D$42:$D$47)</f>
        <v>20</v>
      </c>
      <c r="J25" s="1">
        <f t="shared" si="0"/>
        <v>0.41666666666666669</v>
      </c>
      <c r="K25" s="1">
        <f t="shared" si="1"/>
        <v>0.83333333333333337</v>
      </c>
    </row>
    <row r="26" spans="1:11">
      <c r="A26" s="91"/>
      <c r="B26" s="46" t="s">
        <v>575</v>
      </c>
      <c r="C26" s="44">
        <v>10</v>
      </c>
      <c r="D26" s="44">
        <v>15</v>
      </c>
      <c r="E26" s="44">
        <f t="shared" si="3"/>
        <v>12.5</v>
      </c>
      <c r="G26" s="45" t="s">
        <v>576</v>
      </c>
      <c r="H26" s="44">
        <f>MODE($C$42:$C$47)</f>
        <v>10</v>
      </c>
      <c r="I26" s="44">
        <f>MODE($D$42:$D$47)</f>
        <v>20</v>
      </c>
      <c r="J26" s="1">
        <f t="shared" si="0"/>
        <v>0.41666666666666669</v>
      </c>
      <c r="K26" s="1">
        <f t="shared" si="1"/>
        <v>0.83333333333333337</v>
      </c>
    </row>
    <row r="27" spans="1:11">
      <c r="A27" s="91"/>
      <c r="B27" s="46" t="s">
        <v>577</v>
      </c>
      <c r="C27" s="44">
        <v>10</v>
      </c>
      <c r="D27" s="44">
        <v>10</v>
      </c>
      <c r="E27" s="44">
        <f t="shared" si="3"/>
        <v>10</v>
      </c>
      <c r="G27" s="45"/>
      <c r="H27" s="44"/>
      <c r="I27" s="44"/>
      <c r="J27" s="1">
        <f t="shared" si="0"/>
        <v>0</v>
      </c>
      <c r="K27" s="1">
        <f t="shared" si="1"/>
        <v>0</v>
      </c>
    </row>
    <row r="28" spans="1:11">
      <c r="A28" s="91"/>
      <c r="B28" s="46" t="s">
        <v>578</v>
      </c>
      <c r="C28" s="44">
        <v>10</v>
      </c>
      <c r="D28" s="44">
        <v>14</v>
      </c>
      <c r="E28" s="44">
        <f t="shared" si="3"/>
        <v>12</v>
      </c>
      <c r="G28" s="45" t="s">
        <v>579</v>
      </c>
      <c r="H28" s="44">
        <f>MAX($C$49:$C67)</f>
        <v>18</v>
      </c>
      <c r="I28" s="44">
        <f>MAX($D$49:$D67)</f>
        <v>24</v>
      </c>
      <c r="J28" s="1">
        <f t="shared" si="0"/>
        <v>0.75</v>
      </c>
      <c r="K28" s="1">
        <f t="shared" si="1"/>
        <v>1</v>
      </c>
    </row>
    <row r="29" spans="1:11">
      <c r="A29" s="91"/>
      <c r="B29" s="46" t="s">
        <v>580</v>
      </c>
      <c r="C29" s="44">
        <v>10</v>
      </c>
      <c r="D29" s="44">
        <v>12</v>
      </c>
      <c r="E29" s="44">
        <f t="shared" si="3"/>
        <v>11</v>
      </c>
      <c r="G29" s="45" t="s">
        <v>581</v>
      </c>
      <c r="H29" s="44">
        <f>MIN($C$49:$C67)</f>
        <v>10</v>
      </c>
      <c r="I29" s="44">
        <f>MIN($D$49:$D67)</f>
        <v>18</v>
      </c>
      <c r="J29" s="1">
        <f t="shared" si="0"/>
        <v>0.41666666666666669</v>
      </c>
      <c r="K29" s="1">
        <f t="shared" si="1"/>
        <v>0.75</v>
      </c>
    </row>
    <row r="30" spans="1:11">
      <c r="A30" s="91"/>
      <c r="B30" s="46" t="s">
        <v>582</v>
      </c>
      <c r="C30" s="44">
        <v>8</v>
      </c>
      <c r="D30" s="44">
        <v>12</v>
      </c>
      <c r="E30" s="44">
        <f t="shared" si="3"/>
        <v>10</v>
      </c>
      <c r="G30" s="45" t="s">
        <v>583</v>
      </c>
      <c r="H30" s="44">
        <f>AVERAGE($C$49:$C67)</f>
        <v>14.473684210526315</v>
      </c>
      <c r="I30" s="44">
        <f>AVERAGE($D$49:$D67)</f>
        <v>20.315789473684209</v>
      </c>
      <c r="J30" s="1">
        <f t="shared" si="0"/>
        <v>0.60307017543859642</v>
      </c>
      <c r="K30" s="1">
        <f t="shared" si="1"/>
        <v>0.84649122807017541</v>
      </c>
    </row>
    <row r="31" spans="1:11">
      <c r="A31" s="91"/>
      <c r="B31" s="46" t="s">
        <v>584</v>
      </c>
      <c r="C31" s="44">
        <v>10</v>
      </c>
      <c r="D31" s="44">
        <v>15</v>
      </c>
      <c r="E31" s="44">
        <f t="shared" si="3"/>
        <v>12.5</v>
      </c>
      <c r="G31" s="45" t="s">
        <v>585</v>
      </c>
      <c r="H31" s="44">
        <f>MEDIAN($C$49:$C67)</f>
        <v>15</v>
      </c>
      <c r="I31" s="44">
        <f>MEDIAN($D$49:$D67)</f>
        <v>20</v>
      </c>
      <c r="J31" s="1">
        <f t="shared" si="0"/>
        <v>0.625</v>
      </c>
      <c r="K31" s="1">
        <f t="shared" si="1"/>
        <v>0.83333333333333337</v>
      </c>
    </row>
    <row r="32" spans="1:11">
      <c r="A32" s="91"/>
      <c r="B32" s="46" t="s">
        <v>586</v>
      </c>
      <c r="C32" s="44">
        <v>8</v>
      </c>
      <c r="D32" s="44">
        <v>10</v>
      </c>
      <c r="E32" s="44">
        <f t="shared" si="3"/>
        <v>9</v>
      </c>
      <c r="G32" s="45" t="s">
        <v>587</v>
      </c>
      <c r="H32" s="44">
        <f>MODE($C$49:$C67)</f>
        <v>15</v>
      </c>
      <c r="I32" s="44">
        <f>MODE($D$49:$D67)</f>
        <v>20</v>
      </c>
      <c r="J32" s="1">
        <f t="shared" si="0"/>
        <v>0.625</v>
      </c>
      <c r="K32" s="1">
        <f t="shared" si="1"/>
        <v>0.83333333333333337</v>
      </c>
    </row>
    <row r="33" spans="1:7">
      <c r="A33" s="91"/>
      <c r="B33" s="46" t="s">
        <v>588</v>
      </c>
      <c r="C33" s="44">
        <v>10</v>
      </c>
      <c r="D33" s="44">
        <v>10</v>
      </c>
      <c r="E33" s="44">
        <f t="shared" si="3"/>
        <v>10</v>
      </c>
    </row>
    <row r="34" spans="1:7">
      <c r="A34" s="91"/>
      <c r="B34" s="46" t="s">
        <v>589</v>
      </c>
      <c r="C34" s="44">
        <v>8</v>
      </c>
      <c r="D34" s="44">
        <v>12</v>
      </c>
      <c r="E34" s="44">
        <f t="shared" si="3"/>
        <v>10</v>
      </c>
    </row>
    <row r="35" spans="1:7">
      <c r="A35" s="91"/>
      <c r="B35" s="46" t="s">
        <v>590</v>
      </c>
      <c r="C35" s="44">
        <v>12</v>
      </c>
      <c r="D35" s="44">
        <v>15</v>
      </c>
      <c r="E35" s="44">
        <f t="shared" si="3"/>
        <v>13.5</v>
      </c>
    </row>
    <row r="36" spans="1:7">
      <c r="A36" s="91"/>
      <c r="B36" s="46" t="s">
        <v>591</v>
      </c>
      <c r="C36" s="44">
        <v>8</v>
      </c>
      <c r="D36" s="44">
        <v>10</v>
      </c>
      <c r="E36" s="44">
        <f t="shared" si="3"/>
        <v>9</v>
      </c>
    </row>
    <row r="37" spans="1:7">
      <c r="A37" s="91"/>
      <c r="B37" s="46" t="s">
        <v>592</v>
      </c>
      <c r="C37" s="44">
        <v>8</v>
      </c>
      <c r="D37" s="44">
        <v>12</v>
      </c>
      <c r="E37" s="44">
        <f t="shared" si="3"/>
        <v>10</v>
      </c>
      <c r="G37" t="s">
        <v>593</v>
      </c>
    </row>
    <row r="38" spans="1:7">
      <c r="A38" s="91"/>
      <c r="B38" s="46" t="s">
        <v>594</v>
      </c>
      <c r="C38" s="44">
        <v>10</v>
      </c>
      <c r="D38" s="44">
        <v>10</v>
      </c>
      <c r="E38" s="44">
        <f t="shared" si="3"/>
        <v>10</v>
      </c>
    </row>
    <row r="39" spans="1:7">
      <c r="A39" s="91"/>
      <c r="B39" s="46" t="s">
        <v>595</v>
      </c>
      <c r="C39" s="44">
        <v>10</v>
      </c>
      <c r="D39" s="44">
        <v>12</v>
      </c>
      <c r="E39" s="44">
        <f t="shared" si="3"/>
        <v>11</v>
      </c>
    </row>
    <row r="40" spans="1:7">
      <c r="A40" s="92"/>
      <c r="B40" s="46" t="s">
        <v>596</v>
      </c>
      <c r="C40" s="44">
        <v>15</v>
      </c>
      <c r="D40" s="44">
        <v>17</v>
      </c>
      <c r="E40" s="44">
        <f t="shared" si="3"/>
        <v>16</v>
      </c>
    </row>
    <row r="41" spans="1:7">
      <c r="A41" s="46"/>
      <c r="B41" s="46"/>
      <c r="C41" s="46"/>
      <c r="D41" s="46"/>
      <c r="E41" s="44"/>
    </row>
    <row r="42" spans="1:7">
      <c r="A42" s="90" t="s">
        <v>488</v>
      </c>
      <c r="B42" s="46" t="s">
        <v>597</v>
      </c>
      <c r="C42" s="44">
        <v>10</v>
      </c>
      <c r="D42" s="44">
        <v>20</v>
      </c>
      <c r="E42" s="44">
        <f t="shared" ref="E42:E47" si="4">AVERAGE(C42:D42)</f>
        <v>15</v>
      </c>
    </row>
    <row r="43" spans="1:7">
      <c r="A43" s="91"/>
      <c r="B43" s="46" t="s">
        <v>598</v>
      </c>
      <c r="C43" s="44">
        <v>10</v>
      </c>
      <c r="D43" s="44">
        <v>20</v>
      </c>
      <c r="E43" s="44">
        <f t="shared" si="4"/>
        <v>15</v>
      </c>
    </row>
    <row r="44" spans="1:7">
      <c r="A44" s="91"/>
      <c r="B44" s="46" t="s">
        <v>599</v>
      </c>
      <c r="C44" s="44">
        <v>10</v>
      </c>
      <c r="D44" s="44">
        <v>20</v>
      </c>
      <c r="E44" s="44">
        <f t="shared" si="4"/>
        <v>15</v>
      </c>
    </row>
    <row r="45" spans="1:7">
      <c r="A45" s="91"/>
      <c r="B45" s="46" t="s">
        <v>600</v>
      </c>
      <c r="C45" s="44">
        <v>10</v>
      </c>
      <c r="D45" s="44">
        <v>20</v>
      </c>
      <c r="E45" s="44">
        <f t="shared" si="4"/>
        <v>15</v>
      </c>
    </row>
    <row r="46" spans="1:7">
      <c r="A46" s="91"/>
      <c r="B46" s="46" t="s">
        <v>601</v>
      </c>
      <c r="C46" s="44">
        <v>10</v>
      </c>
      <c r="D46" s="44">
        <v>20</v>
      </c>
      <c r="E46" s="44">
        <f t="shared" si="4"/>
        <v>15</v>
      </c>
    </row>
    <row r="47" spans="1:7">
      <c r="A47" s="92"/>
      <c r="B47" s="46" t="s">
        <v>602</v>
      </c>
      <c r="C47" s="44">
        <v>10</v>
      </c>
      <c r="D47" s="44">
        <v>12</v>
      </c>
      <c r="E47" s="44">
        <f t="shared" si="4"/>
        <v>11</v>
      </c>
    </row>
    <row r="48" spans="1:7">
      <c r="A48" s="46"/>
      <c r="B48" s="46"/>
      <c r="C48" s="46"/>
      <c r="D48" s="46"/>
      <c r="E48" s="44"/>
    </row>
    <row r="49" spans="1:5">
      <c r="A49" s="90" t="s">
        <v>489</v>
      </c>
      <c r="B49" s="46" t="s">
        <v>603</v>
      </c>
      <c r="C49" s="44">
        <v>10</v>
      </c>
      <c r="D49" s="44">
        <v>18</v>
      </c>
      <c r="E49" s="44">
        <f t="shared" ref="E49:E67" si="5">AVERAGE(C49:D49)</f>
        <v>14</v>
      </c>
    </row>
    <row r="50" spans="1:5">
      <c r="A50" s="91"/>
      <c r="B50" s="46" t="s">
        <v>604</v>
      </c>
      <c r="C50" s="44">
        <v>10</v>
      </c>
      <c r="D50" s="44">
        <v>18</v>
      </c>
      <c r="E50" s="44">
        <f t="shared" si="5"/>
        <v>14</v>
      </c>
    </row>
    <row r="51" spans="1:5">
      <c r="A51" s="91"/>
      <c r="B51" s="46" t="s">
        <v>605</v>
      </c>
      <c r="C51" s="44">
        <v>10</v>
      </c>
      <c r="D51" s="44">
        <v>18</v>
      </c>
      <c r="E51" s="44">
        <f t="shared" si="5"/>
        <v>14</v>
      </c>
    </row>
    <row r="52" spans="1:5">
      <c r="A52" s="91"/>
      <c r="B52" s="46" t="s">
        <v>606</v>
      </c>
      <c r="C52" s="44">
        <v>15</v>
      </c>
      <c r="D52" s="44">
        <v>20</v>
      </c>
      <c r="E52" s="44">
        <f t="shared" si="5"/>
        <v>17.5</v>
      </c>
    </row>
    <row r="53" spans="1:5">
      <c r="A53" s="91"/>
      <c r="B53" s="46" t="s">
        <v>607</v>
      </c>
      <c r="C53" s="44">
        <v>15</v>
      </c>
      <c r="D53" s="44">
        <v>20</v>
      </c>
      <c r="E53" s="44">
        <f t="shared" si="5"/>
        <v>17.5</v>
      </c>
    </row>
    <row r="54" spans="1:5">
      <c r="A54" s="91"/>
      <c r="B54" s="46" t="s">
        <v>608</v>
      </c>
      <c r="C54" s="44">
        <v>15</v>
      </c>
      <c r="D54" s="44">
        <v>20</v>
      </c>
      <c r="E54" s="44">
        <f t="shared" si="5"/>
        <v>17.5</v>
      </c>
    </row>
    <row r="55" spans="1:5">
      <c r="A55" s="91"/>
      <c r="B55" s="46" t="s">
        <v>609</v>
      </c>
      <c r="C55" s="44">
        <v>15</v>
      </c>
      <c r="D55" s="44">
        <v>20</v>
      </c>
      <c r="E55" s="44">
        <f t="shared" si="5"/>
        <v>17.5</v>
      </c>
    </row>
    <row r="56" spans="1:5">
      <c r="A56" s="91"/>
      <c r="B56" s="46" t="s">
        <v>610</v>
      </c>
      <c r="C56" s="44">
        <v>15</v>
      </c>
      <c r="D56" s="44">
        <v>20</v>
      </c>
      <c r="E56" s="44">
        <f t="shared" si="5"/>
        <v>17.5</v>
      </c>
    </row>
    <row r="57" spans="1:5">
      <c r="A57" s="91"/>
      <c r="B57" s="46" t="s">
        <v>611</v>
      </c>
      <c r="C57" s="44">
        <v>10</v>
      </c>
      <c r="D57" s="44">
        <v>20</v>
      </c>
      <c r="E57" s="44">
        <f t="shared" si="5"/>
        <v>15</v>
      </c>
    </row>
    <row r="58" spans="1:5">
      <c r="A58" s="91"/>
      <c r="B58" s="46" t="s">
        <v>612</v>
      </c>
      <c r="C58" s="44">
        <v>15</v>
      </c>
      <c r="D58" s="44">
        <v>20</v>
      </c>
      <c r="E58" s="44">
        <f t="shared" si="5"/>
        <v>17.5</v>
      </c>
    </row>
    <row r="59" spans="1:5">
      <c r="A59" s="91"/>
      <c r="B59" s="46" t="s">
        <v>613</v>
      </c>
      <c r="C59" s="44">
        <v>18</v>
      </c>
      <c r="D59" s="44">
        <v>22</v>
      </c>
      <c r="E59" s="44">
        <f t="shared" si="5"/>
        <v>20</v>
      </c>
    </row>
    <row r="60" spans="1:5">
      <c r="A60" s="91"/>
      <c r="B60" s="46" t="s">
        <v>614</v>
      </c>
      <c r="C60" s="44">
        <v>15</v>
      </c>
      <c r="D60" s="44">
        <v>20</v>
      </c>
      <c r="E60" s="44">
        <f t="shared" si="5"/>
        <v>17.5</v>
      </c>
    </row>
    <row r="61" spans="1:5">
      <c r="A61" s="91"/>
      <c r="B61" s="46" t="s">
        <v>615</v>
      </c>
      <c r="C61" s="44">
        <v>15</v>
      </c>
      <c r="D61" s="44">
        <v>20</v>
      </c>
      <c r="E61" s="44">
        <f t="shared" si="5"/>
        <v>17.5</v>
      </c>
    </row>
    <row r="62" spans="1:5">
      <c r="A62" s="91"/>
      <c r="B62" s="46" t="s">
        <v>616</v>
      </c>
      <c r="C62" s="44">
        <v>15</v>
      </c>
      <c r="D62" s="44">
        <v>20</v>
      </c>
      <c r="E62" s="44">
        <f t="shared" si="5"/>
        <v>17.5</v>
      </c>
    </row>
    <row r="63" spans="1:5">
      <c r="A63" s="91"/>
      <c r="B63" s="46" t="s">
        <v>617</v>
      </c>
      <c r="C63" s="44">
        <v>16</v>
      </c>
      <c r="D63" s="44">
        <v>20</v>
      </c>
      <c r="E63" s="44">
        <f t="shared" si="5"/>
        <v>18</v>
      </c>
    </row>
    <row r="64" spans="1:5">
      <c r="A64" s="91"/>
      <c r="B64" s="46" t="s">
        <v>618</v>
      </c>
      <c r="C64" s="44">
        <v>12</v>
      </c>
      <c r="D64" s="44">
        <v>24</v>
      </c>
      <c r="E64" s="44">
        <f t="shared" si="5"/>
        <v>18</v>
      </c>
    </row>
    <row r="65" spans="1:5">
      <c r="A65" s="91"/>
      <c r="B65" s="46" t="s">
        <v>619</v>
      </c>
      <c r="C65" s="44">
        <v>18</v>
      </c>
      <c r="D65" s="44">
        <v>22</v>
      </c>
      <c r="E65" s="44">
        <f t="shared" si="5"/>
        <v>20</v>
      </c>
    </row>
    <row r="66" spans="1:5">
      <c r="A66" s="91"/>
      <c r="B66" s="46" t="s">
        <v>620</v>
      </c>
      <c r="C66" s="44">
        <v>18</v>
      </c>
      <c r="D66" s="44">
        <v>22</v>
      </c>
      <c r="E66" s="44">
        <f t="shared" si="5"/>
        <v>20</v>
      </c>
    </row>
    <row r="67" spans="1:5">
      <c r="A67" s="92"/>
      <c r="B67" s="46" t="s">
        <v>621</v>
      </c>
      <c r="C67" s="44">
        <v>18</v>
      </c>
      <c r="D67" s="44">
        <v>22</v>
      </c>
      <c r="E67" s="44">
        <f t="shared" si="5"/>
        <v>20</v>
      </c>
    </row>
    <row r="73" spans="1:5">
      <c r="C73" s="85"/>
      <c r="D73" s="86"/>
      <c r="E73" s="87"/>
    </row>
    <row r="74" spans="1:5">
      <c r="A74" s="45"/>
      <c r="B74" s="45"/>
      <c r="C74" s="43"/>
      <c r="D74" s="43"/>
      <c r="E74" s="43"/>
    </row>
  </sheetData>
  <mergeCells count="7">
    <mergeCell ref="H2:I2"/>
    <mergeCell ref="C3:E3"/>
    <mergeCell ref="C73:E73"/>
    <mergeCell ref="A5:A19"/>
    <mergeCell ref="A21:A40"/>
    <mergeCell ref="A42:A47"/>
    <mergeCell ref="A49:A67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V56"/>
  <sheetViews>
    <sheetView zoomScale="125" workbookViewId="0">
      <selection activeCell="R12" sqref="R12:S23"/>
    </sheetView>
  </sheetViews>
  <sheetFormatPr baseColWidth="10" defaultRowHeight="16"/>
  <cols>
    <col min="1" max="1" width="38.33203125" bestFit="1" customWidth="1"/>
    <col min="3" max="3" width="19.33203125" bestFit="1" customWidth="1"/>
  </cols>
  <sheetData>
    <row r="1" spans="1:22">
      <c r="A1" s="42" t="s">
        <v>622</v>
      </c>
      <c r="B1" s="85" t="s">
        <v>64</v>
      </c>
      <c r="C1" s="86"/>
      <c r="D1" s="86"/>
      <c r="E1" s="86"/>
      <c r="F1" s="86"/>
      <c r="G1" s="87"/>
    </row>
    <row r="2" spans="1:22">
      <c r="B2" s="85" t="s">
        <v>77</v>
      </c>
      <c r="C2" s="86"/>
      <c r="D2" s="87"/>
      <c r="E2" s="85" t="s">
        <v>78</v>
      </c>
      <c r="F2" s="86"/>
      <c r="G2" s="87"/>
      <c r="H2">
        <v>20</v>
      </c>
      <c r="I2">
        <v>22</v>
      </c>
    </row>
    <row r="3" spans="1:22">
      <c r="B3" s="44" t="s">
        <v>153</v>
      </c>
      <c r="C3" s="44" t="s">
        <v>154</v>
      </c>
      <c r="D3" s="43" t="s">
        <v>28</v>
      </c>
      <c r="E3" s="44" t="s">
        <v>154</v>
      </c>
      <c r="F3" s="44" t="s">
        <v>153</v>
      </c>
      <c r="G3" s="43" t="s">
        <v>28</v>
      </c>
      <c r="J3" t="s">
        <v>623</v>
      </c>
    </row>
    <row r="4" spans="1:22">
      <c r="A4" s="45" t="s">
        <v>158</v>
      </c>
      <c r="B4" s="44">
        <v>5</v>
      </c>
      <c r="C4" s="44">
        <v>5.8</v>
      </c>
      <c r="D4" s="43">
        <f>SUM(B4:C4)</f>
        <v>10.8</v>
      </c>
      <c r="E4" s="44">
        <v>5.8</v>
      </c>
      <c r="F4" s="44">
        <v>5.5</v>
      </c>
      <c r="G4" s="43">
        <f>SUM(E4:F4)</f>
        <v>11.3</v>
      </c>
      <c r="H4" s="77">
        <v>12.4</v>
      </c>
      <c r="I4" s="77">
        <v>20.8</v>
      </c>
    </row>
    <row r="5" spans="1:22">
      <c r="A5" s="46" t="s">
        <v>624</v>
      </c>
      <c r="B5" s="46"/>
      <c r="C5" s="46"/>
      <c r="D5" s="46">
        <v>0.5</v>
      </c>
      <c r="E5" s="46"/>
      <c r="F5" s="46"/>
      <c r="G5" s="46">
        <v>0.5</v>
      </c>
    </row>
    <row r="6" spans="1:22">
      <c r="A6" s="73" t="s">
        <v>625</v>
      </c>
      <c r="B6">
        <v>10</v>
      </c>
      <c r="K6" t="s">
        <v>626</v>
      </c>
    </row>
    <row r="7" spans="1:22">
      <c r="A7" t="s">
        <v>627</v>
      </c>
      <c r="B7">
        <f>D4+G4</f>
        <v>22.1</v>
      </c>
      <c r="D7" t="s">
        <v>628</v>
      </c>
      <c r="F7">
        <v>2</v>
      </c>
      <c r="K7" t="s">
        <v>629</v>
      </c>
    </row>
    <row r="8" spans="1:22">
      <c r="A8" t="s">
        <v>630</v>
      </c>
      <c r="B8">
        <v>1130</v>
      </c>
      <c r="K8" t="s">
        <v>631</v>
      </c>
      <c r="L8">
        <v>2.68</v>
      </c>
    </row>
    <row r="9" spans="1:22">
      <c r="A9" t="s">
        <v>632</v>
      </c>
      <c r="B9">
        <f>J43/F7</f>
        <v>1683.5052500000002</v>
      </c>
    </row>
    <row r="10" spans="1:22">
      <c r="A10" s="45" t="s">
        <v>633</v>
      </c>
      <c r="B10" s="45" t="s">
        <v>634</v>
      </c>
      <c r="C10" s="45" t="s">
        <v>635</v>
      </c>
      <c r="I10" t="s">
        <v>76</v>
      </c>
      <c r="J10" t="s">
        <v>77</v>
      </c>
      <c r="N10" t="s">
        <v>636</v>
      </c>
      <c r="O10" t="s">
        <v>637</v>
      </c>
      <c r="R10" t="s">
        <v>78</v>
      </c>
    </row>
    <row r="11" spans="1:22">
      <c r="A11" s="46" t="s">
        <v>638</v>
      </c>
      <c r="B11" s="68">
        <v>0.55400000000000005</v>
      </c>
      <c r="C11" s="69">
        <f>B11/(B11+B14)</f>
        <v>0.61283185840707977</v>
      </c>
      <c r="D11">
        <f>(B6*B29)/((B6*B29)+B9)</f>
        <v>0.57077924525579138</v>
      </c>
      <c r="J11" t="s">
        <v>87</v>
      </c>
      <c r="K11" t="s">
        <v>639</v>
      </c>
      <c r="L11" t="s">
        <v>640</v>
      </c>
      <c r="M11" t="s">
        <v>641</v>
      </c>
      <c r="N11" t="s">
        <v>642</v>
      </c>
      <c r="P11" t="s">
        <v>643</v>
      </c>
      <c r="R11" t="s">
        <v>87</v>
      </c>
      <c r="S11" t="s">
        <v>639</v>
      </c>
      <c r="T11" t="s">
        <v>640</v>
      </c>
      <c r="U11" t="s">
        <v>641</v>
      </c>
      <c r="V11" t="s">
        <v>644</v>
      </c>
    </row>
    <row r="12" spans="1:22">
      <c r="A12" s="46" t="s">
        <v>645</v>
      </c>
      <c r="B12" s="70">
        <v>7.0000000000000007E-2</v>
      </c>
      <c r="C12" s="70">
        <v>0</v>
      </c>
      <c r="I12" s="1">
        <v>0.38541666666666669</v>
      </c>
      <c r="J12" s="1">
        <v>2.9166666666666671E-2</v>
      </c>
      <c r="K12">
        <f t="shared" ref="K12:K23" si="0">J12*24</f>
        <v>0.70000000000000007</v>
      </c>
      <c r="L12">
        <f t="shared" ref="L12:L22" si="1">K12/J$26</f>
        <v>9.7742611124040035E-2</v>
      </c>
      <c r="M12">
        <f t="shared" ref="M12:M22" si="2">($B$38)*L12</f>
        <v>0.9686782839675927</v>
      </c>
      <c r="N12">
        <f t="shared" ref="N12:N22" si="3">M12/B$27</f>
        <v>0.10682368853753731</v>
      </c>
      <c r="O12">
        <f t="shared" ref="O12:O22" si="4">N12*1000</f>
        <v>106.82368853753731</v>
      </c>
      <c r="P12">
        <f t="shared" ref="P12:P22" si="5">O12/$L$8</f>
        <v>39.859585275200487</v>
      </c>
      <c r="R12" s="1">
        <v>2.7083333333333331E-2</v>
      </c>
      <c r="S12">
        <f t="shared" ref="S12:S23" si="6">R12*24</f>
        <v>0.64999999999999991</v>
      </c>
      <c r="T12">
        <f t="shared" ref="T12:T22" si="7">S12/R$26</f>
        <v>9.774436090225562E-2</v>
      </c>
      <c r="U12">
        <f t="shared" ref="U12:U22" si="8">$C$38*T12</f>
        <v>1.1054199143148458</v>
      </c>
      <c r="V12">
        <f t="shared" ref="V12:V22" si="9">U12/$C$27</f>
        <v>0.11791145752691688</v>
      </c>
    </row>
    <row r="13" spans="1:22">
      <c r="A13" s="46" t="s">
        <v>646</v>
      </c>
      <c r="B13" s="68">
        <v>2.5999999999999999E-2</v>
      </c>
      <c r="C13" s="70">
        <v>0</v>
      </c>
      <c r="I13" s="1">
        <v>0.42708333333333331</v>
      </c>
      <c r="J13" s="1">
        <v>2.6249999999999999E-2</v>
      </c>
      <c r="K13">
        <f t="shared" si="0"/>
        <v>0.63</v>
      </c>
      <c r="L13">
        <f t="shared" si="1"/>
        <v>8.7968350011636026E-2</v>
      </c>
      <c r="M13">
        <f t="shared" si="2"/>
        <v>0.87181045557083336</v>
      </c>
      <c r="N13">
        <f t="shared" si="3"/>
        <v>9.6141319683783574E-2</v>
      </c>
      <c r="O13">
        <f t="shared" si="4"/>
        <v>96.141319683783578</v>
      </c>
      <c r="P13">
        <f t="shared" si="5"/>
        <v>35.87362674768044</v>
      </c>
      <c r="R13" s="1">
        <v>2.5347222222222219E-2</v>
      </c>
      <c r="S13">
        <f t="shared" si="6"/>
        <v>0.60833333333333328</v>
      </c>
      <c r="T13">
        <f t="shared" si="7"/>
        <v>9.1478696741854618E-2</v>
      </c>
      <c r="U13">
        <f t="shared" si="8"/>
        <v>1.0345596633972274</v>
      </c>
      <c r="V13">
        <f t="shared" si="9"/>
        <v>0.11035303076237092</v>
      </c>
    </row>
    <row r="14" spans="1:22">
      <c r="A14" s="46" t="s">
        <v>647</v>
      </c>
      <c r="B14" s="68">
        <f>1-B11-B12-B13</f>
        <v>0.34999999999999992</v>
      </c>
      <c r="C14" s="71">
        <f>B14/(B11+B14)</f>
        <v>0.38716814159292029</v>
      </c>
      <c r="D14">
        <f>(B9)/((B6*B29)+B9)</f>
        <v>0.42922075474420862</v>
      </c>
      <c r="I14" s="1">
        <v>0.46875</v>
      </c>
      <c r="J14" s="1">
        <v>2.5312500000000002E-2</v>
      </c>
      <c r="K14">
        <f t="shared" si="0"/>
        <v>0.60750000000000004</v>
      </c>
      <c r="L14">
        <f t="shared" si="1"/>
        <v>8.4826623225506173E-2</v>
      </c>
      <c r="M14">
        <f t="shared" si="2"/>
        <v>0.84067436787187511</v>
      </c>
      <c r="N14">
        <f t="shared" si="3"/>
        <v>9.2707701123648456E-2</v>
      </c>
      <c r="O14">
        <f t="shared" si="4"/>
        <v>92.707701123648462</v>
      </c>
      <c r="P14">
        <f t="shared" si="5"/>
        <v>34.592425792406139</v>
      </c>
      <c r="R14" s="1">
        <v>2.4305555555555559E-2</v>
      </c>
      <c r="S14">
        <f t="shared" si="6"/>
        <v>0.58333333333333348</v>
      </c>
      <c r="T14">
        <f t="shared" si="7"/>
        <v>8.7719298245614058E-2</v>
      </c>
      <c r="U14">
        <f t="shared" si="8"/>
        <v>0.99204351284665693</v>
      </c>
      <c r="V14">
        <f t="shared" si="9"/>
        <v>0.1058179747036434</v>
      </c>
    </row>
    <row r="15" spans="1:22">
      <c r="B15" s="42" t="s">
        <v>77</v>
      </c>
      <c r="C15" s="42" t="s">
        <v>78</v>
      </c>
      <c r="D15" s="42">
        <v>20</v>
      </c>
      <c r="E15" s="42">
        <v>22</v>
      </c>
      <c r="I15" s="1">
        <v>0.51041666666666663</v>
      </c>
      <c r="J15" s="1">
        <v>2.5937499999999999E-2</v>
      </c>
      <c r="K15">
        <f t="shared" si="0"/>
        <v>0.62249999999999994</v>
      </c>
      <c r="L15">
        <f t="shared" si="1"/>
        <v>8.6921107749592733E-2</v>
      </c>
      <c r="M15">
        <f t="shared" si="2"/>
        <v>0.86143175967118057</v>
      </c>
      <c r="N15">
        <f t="shared" si="3"/>
        <v>9.4996780163738526E-2</v>
      </c>
      <c r="O15">
        <f t="shared" si="4"/>
        <v>94.996780163738521</v>
      </c>
      <c r="P15">
        <f t="shared" si="5"/>
        <v>35.446559762588997</v>
      </c>
      <c r="R15" s="1">
        <v>2.569444444444444E-2</v>
      </c>
      <c r="S15">
        <f t="shared" si="6"/>
        <v>0.61666666666666659</v>
      </c>
      <c r="T15">
        <f t="shared" si="7"/>
        <v>9.2731829573934818E-2</v>
      </c>
      <c r="U15">
        <f t="shared" si="8"/>
        <v>1.048731713580751</v>
      </c>
      <c r="V15">
        <f t="shared" si="9"/>
        <v>0.11186471611528011</v>
      </c>
    </row>
    <row r="16" spans="1:22">
      <c r="A16" t="s">
        <v>648</v>
      </c>
      <c r="B16">
        <v>5725</v>
      </c>
      <c r="I16" s="41">
        <v>0.55208333333333337</v>
      </c>
      <c r="J16" s="1">
        <v>2.6875E-2</v>
      </c>
      <c r="K16">
        <f t="shared" si="0"/>
        <v>0.64500000000000002</v>
      </c>
      <c r="L16">
        <f t="shared" si="1"/>
        <v>9.00628345357226E-2</v>
      </c>
      <c r="M16">
        <f t="shared" si="2"/>
        <v>0.89256784737013894</v>
      </c>
      <c r="N16">
        <f t="shared" si="3"/>
        <v>9.8430398723873658E-2</v>
      </c>
      <c r="O16">
        <f t="shared" si="4"/>
        <v>98.430398723873651</v>
      </c>
      <c r="P16">
        <f t="shared" si="5"/>
        <v>36.727760717863298</v>
      </c>
      <c r="R16" s="1">
        <v>2.5000000000000001E-2</v>
      </c>
      <c r="S16">
        <f t="shared" si="6"/>
        <v>0.60000000000000009</v>
      </c>
      <c r="T16">
        <f t="shared" si="7"/>
        <v>9.0225563909774445E-2</v>
      </c>
      <c r="U16">
        <f t="shared" si="8"/>
        <v>1.020387613213704</v>
      </c>
      <c r="V16">
        <f t="shared" si="9"/>
        <v>0.10884134540946176</v>
      </c>
    </row>
    <row r="17" spans="1:22">
      <c r="A17" t="s">
        <v>649</v>
      </c>
      <c r="B17">
        <f>B16*C11</f>
        <v>3508.4623893805315</v>
      </c>
      <c r="I17" s="41">
        <v>0.59375</v>
      </c>
      <c r="J17" s="1">
        <v>2.6875E-2</v>
      </c>
      <c r="K17">
        <f t="shared" si="0"/>
        <v>0.64500000000000002</v>
      </c>
      <c r="L17">
        <f t="shared" si="1"/>
        <v>9.00628345357226E-2</v>
      </c>
      <c r="M17">
        <f t="shared" si="2"/>
        <v>0.89256784737013894</v>
      </c>
      <c r="N17">
        <f t="shared" si="3"/>
        <v>9.8430398723873658E-2</v>
      </c>
      <c r="O17">
        <f t="shared" si="4"/>
        <v>98.430398723873651</v>
      </c>
      <c r="P17">
        <f t="shared" si="5"/>
        <v>36.727760717863298</v>
      </c>
      <c r="R17" s="1">
        <v>2.5000000000000001E-2</v>
      </c>
      <c r="S17">
        <f t="shared" si="6"/>
        <v>0.60000000000000009</v>
      </c>
      <c r="T17">
        <f t="shared" si="7"/>
        <v>9.0225563909774445E-2</v>
      </c>
      <c r="U17">
        <f t="shared" si="8"/>
        <v>1.020387613213704</v>
      </c>
      <c r="V17">
        <f t="shared" si="9"/>
        <v>0.10884134540946176</v>
      </c>
    </row>
    <row r="18" spans="1:22">
      <c r="I18" s="1">
        <v>0.63541666666666663</v>
      </c>
      <c r="J18" s="1">
        <v>2.5000000000000001E-2</v>
      </c>
      <c r="K18">
        <f t="shared" si="0"/>
        <v>0.60000000000000009</v>
      </c>
      <c r="L18">
        <f t="shared" si="1"/>
        <v>8.3779380963462893E-2</v>
      </c>
      <c r="M18">
        <f t="shared" si="2"/>
        <v>0.83029567197222243</v>
      </c>
      <c r="N18">
        <f t="shared" si="3"/>
        <v>9.1563161603603421E-2</v>
      </c>
      <c r="O18">
        <f t="shared" si="4"/>
        <v>91.563161603603419</v>
      </c>
      <c r="P18">
        <f t="shared" si="5"/>
        <v>34.165358807314703</v>
      </c>
      <c r="R18" s="1">
        <v>2.361111111111111E-2</v>
      </c>
      <c r="S18">
        <f t="shared" si="6"/>
        <v>0.56666666666666665</v>
      </c>
      <c r="T18">
        <f t="shared" si="7"/>
        <v>8.5213032581453629E-2</v>
      </c>
      <c r="U18">
        <f t="shared" si="8"/>
        <v>0.96369941247960922</v>
      </c>
      <c r="V18">
        <f t="shared" si="9"/>
        <v>0.10279460399782499</v>
      </c>
    </row>
    <row r="19" spans="1:22">
      <c r="A19" t="s">
        <v>650</v>
      </c>
      <c r="B19">
        <v>29</v>
      </c>
      <c r="I19" s="1">
        <v>0.67708333333333337</v>
      </c>
      <c r="J19" s="1">
        <v>2.5000000000000001E-2</v>
      </c>
      <c r="K19">
        <f t="shared" si="0"/>
        <v>0.60000000000000009</v>
      </c>
      <c r="L19">
        <f t="shared" si="1"/>
        <v>8.3779380963462893E-2</v>
      </c>
      <c r="M19">
        <f t="shared" si="2"/>
        <v>0.83029567197222243</v>
      </c>
      <c r="N19">
        <f t="shared" si="3"/>
        <v>9.1563161603603421E-2</v>
      </c>
      <c r="O19">
        <f t="shared" si="4"/>
        <v>91.563161603603419</v>
      </c>
      <c r="P19">
        <f t="shared" si="5"/>
        <v>34.165358807314703</v>
      </c>
      <c r="R19" s="1">
        <v>2.326388888888889E-2</v>
      </c>
      <c r="S19">
        <f t="shared" si="6"/>
        <v>0.55833333333333335</v>
      </c>
      <c r="T19">
        <f t="shared" si="7"/>
        <v>8.3959899749373429E-2</v>
      </c>
      <c r="U19">
        <f t="shared" si="8"/>
        <v>0.94952736229608559</v>
      </c>
      <c r="V19">
        <f t="shared" si="9"/>
        <v>0.1012829186449158</v>
      </c>
    </row>
    <row r="20" spans="1:22">
      <c r="A20" t="s">
        <v>651</v>
      </c>
      <c r="B20">
        <f>B19*5</f>
        <v>145</v>
      </c>
      <c r="I20" s="1">
        <v>0.71875</v>
      </c>
      <c r="J20" s="1">
        <v>2.9861111111111109E-2</v>
      </c>
      <c r="K20">
        <f t="shared" si="0"/>
        <v>0.71666666666666656</v>
      </c>
      <c r="L20">
        <f t="shared" si="1"/>
        <v>0.10006981615080286</v>
      </c>
      <c r="M20">
        <f t="shared" si="2"/>
        <v>0.99174205263348747</v>
      </c>
      <c r="N20">
        <f t="shared" si="3"/>
        <v>0.10936710969319292</v>
      </c>
      <c r="O20">
        <f t="shared" si="4"/>
        <v>109.36710969319293</v>
      </c>
      <c r="P20">
        <f t="shared" si="5"/>
        <v>40.808623019848106</v>
      </c>
      <c r="R20" s="1">
        <v>2.6388888888888889E-2</v>
      </c>
      <c r="S20">
        <f t="shared" si="6"/>
        <v>0.6333333333333333</v>
      </c>
      <c r="T20">
        <f t="shared" si="7"/>
        <v>9.5238095238095233E-2</v>
      </c>
      <c r="U20">
        <f t="shared" si="8"/>
        <v>1.0770758139477985</v>
      </c>
      <c r="V20">
        <f t="shared" si="9"/>
        <v>0.11488808682109851</v>
      </c>
    </row>
    <row r="21" spans="1:22">
      <c r="A21" t="s">
        <v>652</v>
      </c>
      <c r="B21">
        <v>11</v>
      </c>
      <c r="I21" s="1">
        <v>0.76041666666666663</v>
      </c>
      <c r="J21" s="1">
        <v>3.125E-2</v>
      </c>
      <c r="K21">
        <f t="shared" si="0"/>
        <v>0.75</v>
      </c>
      <c r="L21">
        <f t="shared" si="1"/>
        <v>0.1047242262043286</v>
      </c>
      <c r="M21">
        <f t="shared" si="2"/>
        <v>1.0378695899652779</v>
      </c>
      <c r="N21">
        <f t="shared" si="3"/>
        <v>0.11445395200450426</v>
      </c>
      <c r="O21">
        <f t="shared" si="4"/>
        <v>114.45395200450426</v>
      </c>
      <c r="P21">
        <f t="shared" si="5"/>
        <v>42.706698509143379</v>
      </c>
      <c r="R21" s="1">
        <v>2.6388888888888889E-2</v>
      </c>
      <c r="S21">
        <f t="shared" si="6"/>
        <v>0.6333333333333333</v>
      </c>
      <c r="T21">
        <f t="shared" si="7"/>
        <v>9.5238095238095233E-2</v>
      </c>
      <c r="U21">
        <f t="shared" si="8"/>
        <v>1.0770758139477985</v>
      </c>
      <c r="V21">
        <f t="shared" si="9"/>
        <v>0.11488808682109851</v>
      </c>
    </row>
    <row r="22" spans="1:22">
      <c r="A22" t="s">
        <v>653</v>
      </c>
      <c r="B22">
        <f>B17/B19/5</f>
        <v>24.196292340555392</v>
      </c>
      <c r="I22" s="41">
        <v>0.80208333333333337</v>
      </c>
      <c r="J22" s="1">
        <v>2.6875E-2</v>
      </c>
      <c r="K22">
        <f t="shared" si="0"/>
        <v>0.64500000000000002</v>
      </c>
      <c r="L22">
        <f t="shared" si="1"/>
        <v>9.00628345357226E-2</v>
      </c>
      <c r="M22">
        <f t="shared" si="2"/>
        <v>0.89256784737013894</v>
      </c>
      <c r="N22">
        <f t="shared" si="3"/>
        <v>9.8430398723873658E-2</v>
      </c>
      <c r="O22">
        <f t="shared" si="4"/>
        <v>98.430398723873651</v>
      </c>
      <c r="P22">
        <f t="shared" si="5"/>
        <v>36.727760717863298</v>
      </c>
      <c r="R22" s="1">
        <v>2.5000000000000001E-2</v>
      </c>
      <c r="S22">
        <f t="shared" si="6"/>
        <v>0.60000000000000009</v>
      </c>
      <c r="T22">
        <f t="shared" si="7"/>
        <v>9.0225563909774445E-2</v>
      </c>
      <c r="U22">
        <f t="shared" si="8"/>
        <v>1.020387613213704</v>
      </c>
      <c r="V22">
        <f t="shared" si="9"/>
        <v>0.10884134540946176</v>
      </c>
    </row>
    <row r="23" spans="1:22">
      <c r="A23" t="s">
        <v>654</v>
      </c>
      <c r="B23">
        <v>7.6951350371640101</v>
      </c>
      <c r="C23">
        <v>8.4936998302628108</v>
      </c>
      <c r="D23">
        <v>9.2069849324599105</v>
      </c>
      <c r="E23">
        <v>13.8550978628406</v>
      </c>
      <c r="I23" t="s">
        <v>117</v>
      </c>
      <c r="J23" s="1">
        <v>2.6875E-2</v>
      </c>
      <c r="K23">
        <f t="shared" si="0"/>
        <v>0.64500000000000002</v>
      </c>
      <c r="P23" s="1"/>
      <c r="R23" s="1">
        <v>2.5000000000000001E-2</v>
      </c>
      <c r="S23">
        <f t="shared" si="6"/>
        <v>0.60000000000000009</v>
      </c>
      <c r="T23" s="1"/>
      <c r="U23" s="1"/>
    </row>
    <row r="24" spans="1:22">
      <c r="A24" t="s">
        <v>655</v>
      </c>
      <c r="B24">
        <f>B23*B28</f>
        <v>767.57518254834963</v>
      </c>
      <c r="C24">
        <f>C23*C28</f>
        <v>875.91279499585232</v>
      </c>
      <c r="D24">
        <f>D23*D28</f>
        <v>119.69080412197883</v>
      </c>
      <c r="E24">
        <f>E23*E28</f>
        <v>110.8407829027248</v>
      </c>
      <c r="F24">
        <f>SUM(B24:E24)</f>
        <v>1874.0195645689055</v>
      </c>
      <c r="J24" s="1"/>
      <c r="K24" s="1"/>
      <c r="P24" s="1"/>
      <c r="R24" s="1"/>
      <c r="S24" s="1"/>
      <c r="T24" s="1"/>
      <c r="U24" s="1"/>
    </row>
    <row r="25" spans="1:22">
      <c r="A25" t="s">
        <v>656</v>
      </c>
      <c r="B25">
        <f>6*60 + 37</f>
        <v>397</v>
      </c>
      <c r="C25">
        <f>6*60+24</f>
        <v>384</v>
      </c>
      <c r="I25" t="s">
        <v>28</v>
      </c>
      <c r="J25" s="1">
        <f>SUM(J12:J22)</f>
        <v>0.29840277777777779</v>
      </c>
      <c r="R25" s="1">
        <f>SUM(R12:R22)</f>
        <v>0.27708333333333335</v>
      </c>
    </row>
    <row r="26" spans="1:22">
      <c r="A26" t="s">
        <v>657</v>
      </c>
      <c r="B26">
        <f>B25/60</f>
        <v>6.6166666666666663</v>
      </c>
      <c r="C26">
        <f>C25/60</f>
        <v>6.4</v>
      </c>
      <c r="J26">
        <f>J25*24</f>
        <v>7.1616666666666671</v>
      </c>
      <c r="M26" s="1"/>
      <c r="R26">
        <f>R25*24</f>
        <v>6.65</v>
      </c>
    </row>
    <row r="27" spans="1:22">
      <c r="A27" t="s">
        <v>658</v>
      </c>
      <c r="B27">
        <f>60/B26</f>
        <v>9.0680100755667503</v>
      </c>
      <c r="C27">
        <f>60/C26</f>
        <v>9.375</v>
      </c>
    </row>
    <row r="28" spans="1:22">
      <c r="A28" t="s">
        <v>659</v>
      </c>
      <c r="B28">
        <f>B21*B27</f>
        <v>99.748110831234257</v>
      </c>
      <c r="C28">
        <f>B21*C27</f>
        <v>103.125</v>
      </c>
      <c r="D28">
        <v>13</v>
      </c>
      <c r="E28">
        <v>8</v>
      </c>
      <c r="L28" t="s">
        <v>481</v>
      </c>
    </row>
    <row r="29" spans="1:22">
      <c r="A29" t="s">
        <v>660</v>
      </c>
      <c r="B29">
        <f>SUM(B28:E28)</f>
        <v>223.87311083123427</v>
      </c>
      <c r="I29" s="43" t="s">
        <v>475</v>
      </c>
      <c r="J29" s="43" t="s">
        <v>476</v>
      </c>
      <c r="L29">
        <v>19926</v>
      </c>
      <c r="M29" t="s">
        <v>661</v>
      </c>
    </row>
    <row r="30" spans="1:22">
      <c r="A30" t="s">
        <v>662</v>
      </c>
      <c r="B30">
        <f>B28/B29</f>
        <v>0.4455564603577109</v>
      </c>
      <c r="C30">
        <f>C28/B29</f>
        <v>0.46064040302607095</v>
      </c>
      <c r="D30">
        <f>D28/B29</f>
        <v>5.8068608381468337E-2</v>
      </c>
      <c r="E30">
        <f>E28/B29</f>
        <v>3.5734528234749742E-2</v>
      </c>
      <c r="I30" s="44">
        <v>1</v>
      </c>
      <c r="J30" s="44">
        <f>4463-2900</f>
        <v>1563</v>
      </c>
      <c r="K30" t="s">
        <v>663</v>
      </c>
      <c r="L30">
        <v>1550</v>
      </c>
      <c r="M30" t="s">
        <v>664</v>
      </c>
    </row>
    <row r="31" spans="1:22">
      <c r="A31" t="s">
        <v>665</v>
      </c>
      <c r="B31">
        <f>B30*B22</f>
        <v>10.780814369038252</v>
      </c>
      <c r="C31">
        <f>C30*B22</f>
        <v>11.145789855490069</v>
      </c>
      <c r="D31">
        <f>D30*B22</f>
        <v>1.405045024207233</v>
      </c>
      <c r="E31">
        <f>B22*E30</f>
        <v>0.86464309181983556</v>
      </c>
      <c r="I31" s="44">
        <v>2</v>
      </c>
      <c r="J31" s="44">
        <v>3829</v>
      </c>
    </row>
    <row r="32" spans="1:22">
      <c r="A32" t="s">
        <v>666</v>
      </c>
      <c r="I32" s="44">
        <v>3</v>
      </c>
      <c r="J32" s="44">
        <v>0</v>
      </c>
    </row>
    <row r="33" spans="1:10" ht="17" customHeight="1">
      <c r="B33">
        <f>(B28/B29) * D4/B7</f>
        <v>0.21773799872684516</v>
      </c>
      <c r="C33">
        <f>(C28/B29)*G4/B7</f>
        <v>0.23553106580066072</v>
      </c>
      <c r="I33" s="44">
        <v>4</v>
      </c>
      <c r="J33" s="44">
        <v>2599</v>
      </c>
    </row>
    <row r="34" spans="1:10">
      <c r="A34" t="s">
        <v>28</v>
      </c>
      <c r="B34">
        <f>B33+C33</f>
        <v>0.45326906452750587</v>
      </c>
      <c r="I34" s="44">
        <v>5</v>
      </c>
      <c r="J34" s="44">
        <v>354</v>
      </c>
    </row>
    <row r="35" spans="1:10">
      <c r="B35">
        <f>B33/B34</f>
        <v>0.48037251109077639</v>
      </c>
      <c r="C35">
        <f>C33/B34</f>
        <v>0.51962748890922361</v>
      </c>
      <c r="I35" s="43" t="s">
        <v>28</v>
      </c>
      <c r="J35" s="43">
        <f>SUM(J30:J34)</f>
        <v>8345</v>
      </c>
    </row>
    <row r="36" spans="1:10">
      <c r="J36">
        <v>14481</v>
      </c>
    </row>
    <row r="37" spans="1:10">
      <c r="A37" t="s">
        <v>665</v>
      </c>
      <c r="B37">
        <f>B35*B22</f>
        <v>11.623233710719113</v>
      </c>
      <c r="C37">
        <f>C35*B22</f>
        <v>12.573058629836279</v>
      </c>
    </row>
    <row r="38" spans="1:10">
      <c r="B38">
        <f>B24/F24*B22</f>
        <v>9.9105013957351087</v>
      </c>
      <c r="C38">
        <f>C24/F24*B22</f>
        <v>11.309296046451886</v>
      </c>
      <c r="D38">
        <f>D24/F24*B22</f>
        <v>1.5453807109413809</v>
      </c>
      <c r="E38">
        <f>E24/F24*B22</f>
        <v>1.4311141874270179</v>
      </c>
    </row>
    <row r="42" spans="1:10">
      <c r="I42" t="s">
        <v>667</v>
      </c>
      <c r="J42" t="s">
        <v>668</v>
      </c>
    </row>
    <row r="43" spans="1:10">
      <c r="E43" t="s">
        <v>669</v>
      </c>
      <c r="H43" s="47">
        <v>0.35</v>
      </c>
      <c r="I43">
        <f>H43*K56</f>
        <v>5369</v>
      </c>
      <c r="J43">
        <f>(I43*M56)/5</f>
        <v>3367.0105000000003</v>
      </c>
    </row>
    <row r="44" spans="1:10">
      <c r="E44" t="s">
        <v>670</v>
      </c>
      <c r="H44" s="67">
        <v>0.55400000000000005</v>
      </c>
      <c r="I44">
        <f>H44*K56</f>
        <v>8498.36</v>
      </c>
      <c r="J44">
        <f>(I44*M56)/5</f>
        <v>5329.4966199999999</v>
      </c>
    </row>
    <row r="46" spans="1:10">
      <c r="E46" t="s">
        <v>671</v>
      </c>
      <c r="H46">
        <f>J44/B29</f>
        <v>23.805880930549165</v>
      </c>
    </row>
    <row r="50" spans="10:13">
      <c r="J50" t="s">
        <v>672</v>
      </c>
      <c r="K50" t="s">
        <v>481</v>
      </c>
      <c r="L50" t="s">
        <v>673</v>
      </c>
      <c r="M50" t="s">
        <v>674</v>
      </c>
    </row>
    <row r="51" spans="10:13">
      <c r="J51" t="s">
        <v>675</v>
      </c>
      <c r="K51">
        <v>13790</v>
      </c>
      <c r="L51">
        <f>(L53*K53)/K51</f>
        <v>5.8520884699057287</v>
      </c>
      <c r="M51">
        <f t="shared" ref="M51:M56" si="10">L51/2</f>
        <v>2.9260442349528644</v>
      </c>
    </row>
    <row r="52" spans="10:13">
      <c r="J52" t="s">
        <v>676</v>
      </c>
      <c r="K52">
        <v>6136</v>
      </c>
      <c r="L52">
        <v>0</v>
      </c>
      <c r="M52">
        <f t="shared" si="10"/>
        <v>0</v>
      </c>
    </row>
    <row r="53" spans="10:13">
      <c r="J53" t="s">
        <v>677</v>
      </c>
      <c r="K53">
        <f>SUM(K51:K52)</f>
        <v>19926</v>
      </c>
      <c r="L53">
        <v>4.05</v>
      </c>
      <c r="M53">
        <f t="shared" si="10"/>
        <v>2.0249999999999999</v>
      </c>
    </row>
    <row r="54" spans="10:13">
      <c r="J54" t="s">
        <v>664</v>
      </c>
      <c r="K54">
        <v>1550</v>
      </c>
      <c r="L54">
        <v>10</v>
      </c>
      <c r="M54">
        <f t="shared" si="10"/>
        <v>5</v>
      </c>
    </row>
    <row r="55" spans="10:13">
      <c r="J55" t="s">
        <v>28</v>
      </c>
      <c r="K55">
        <f>SUM(K53:K54)</f>
        <v>21476</v>
      </c>
      <c r="L55">
        <f>(K53*L53+K54*L54)/SUM(K53:K54)</f>
        <v>4.4794328552803133</v>
      </c>
      <c r="M55">
        <f t="shared" si="10"/>
        <v>2.2397164276401567</v>
      </c>
    </row>
    <row r="56" spans="10:13">
      <c r="J56" t="s">
        <v>678</v>
      </c>
      <c r="K56">
        <f>K51+K54</f>
        <v>15340</v>
      </c>
      <c r="L56">
        <f>(L51*K51+K54*L54)/(K51+K54)</f>
        <v>6.2712059973924381</v>
      </c>
      <c r="M56">
        <f t="shared" si="10"/>
        <v>3.1356029986962191</v>
      </c>
    </row>
  </sheetData>
  <mergeCells count="3">
    <mergeCell ref="B1:G1"/>
    <mergeCell ref="B2:D2"/>
    <mergeCell ref="E2:G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Y48"/>
  <sheetViews>
    <sheetView zoomScale="125" workbookViewId="0">
      <selection activeCell="F25" sqref="F25"/>
    </sheetView>
  </sheetViews>
  <sheetFormatPr baseColWidth="10" defaultRowHeight="16"/>
  <cols>
    <col min="1" max="1" width="38.83203125" bestFit="1" customWidth="1"/>
    <col min="2" max="2" width="11" bestFit="1" customWidth="1"/>
    <col min="3" max="3" width="20.1640625" bestFit="1" customWidth="1"/>
    <col min="4" max="6" width="11" bestFit="1" customWidth="1"/>
    <col min="10" max="17" width="11" bestFit="1" customWidth="1"/>
    <col min="19" max="21" width="11" bestFit="1" customWidth="1"/>
  </cols>
  <sheetData>
    <row r="1" spans="1:10">
      <c r="A1" t="s">
        <v>679</v>
      </c>
      <c r="B1">
        <v>29</v>
      </c>
    </row>
    <row r="2" spans="1:10">
      <c r="A2" t="s">
        <v>680</v>
      </c>
      <c r="B2">
        <f>B1*5</f>
        <v>145</v>
      </c>
    </row>
    <row r="3" spans="1:10">
      <c r="A3" t="s">
        <v>681</v>
      </c>
      <c r="B3">
        <v>11</v>
      </c>
      <c r="J3" t="s">
        <v>682</v>
      </c>
    </row>
    <row r="5" spans="1:10">
      <c r="A5" t="s">
        <v>683</v>
      </c>
      <c r="B5">
        <v>5725</v>
      </c>
      <c r="C5" t="s">
        <v>636</v>
      </c>
    </row>
    <row r="6" spans="1:10">
      <c r="A6" t="s">
        <v>684</v>
      </c>
      <c r="B6">
        <f>B5/B2</f>
        <v>39.482758620689658</v>
      </c>
    </row>
    <row r="7" spans="1:10">
      <c r="A7" s="42" t="s">
        <v>685</v>
      </c>
    </row>
    <row r="8" spans="1:10">
      <c r="A8" s="45" t="s">
        <v>633</v>
      </c>
      <c r="B8" s="45" t="s">
        <v>634</v>
      </c>
      <c r="C8" s="45" t="s">
        <v>635</v>
      </c>
    </row>
    <row r="9" spans="1:10">
      <c r="A9" s="46" t="s">
        <v>1209</v>
      </c>
      <c r="B9" s="68">
        <v>0.55400000000000005</v>
      </c>
      <c r="C9" s="69">
        <f>B9/(B9+B12)</f>
        <v>0.61283185840707977</v>
      </c>
    </row>
    <row r="10" spans="1:10">
      <c r="A10" s="46" t="s">
        <v>1210</v>
      </c>
      <c r="B10" s="70">
        <v>7.0000000000000007E-2</v>
      </c>
      <c r="C10" s="70">
        <v>0</v>
      </c>
    </row>
    <row r="11" spans="1:10">
      <c r="A11" s="46" t="s">
        <v>1211</v>
      </c>
      <c r="B11" s="68">
        <v>2.5999999999999999E-2</v>
      </c>
      <c r="C11" s="70">
        <v>0</v>
      </c>
    </row>
    <row r="12" spans="1:10">
      <c r="A12" s="46" t="s">
        <v>1212</v>
      </c>
      <c r="B12" s="68">
        <f>1-B9-B10-B11</f>
        <v>0.34999999999999992</v>
      </c>
      <c r="C12" s="71">
        <f>B12/(B9+B12)</f>
        <v>0.38716814159292029</v>
      </c>
    </row>
    <row r="14" spans="1:10">
      <c r="D14" t="s">
        <v>686</v>
      </c>
    </row>
    <row r="15" spans="1:10">
      <c r="A15" s="42" t="s">
        <v>672</v>
      </c>
      <c r="B15" s="42" t="s">
        <v>481</v>
      </c>
      <c r="C15" s="42" t="s">
        <v>673</v>
      </c>
      <c r="D15" s="42" t="s">
        <v>674</v>
      </c>
    </row>
    <row r="16" spans="1:10">
      <c r="A16" t="s">
        <v>677</v>
      </c>
      <c r="B16">
        <f>SUM(B17:B18)</f>
        <v>19926</v>
      </c>
      <c r="C16">
        <v>4.05</v>
      </c>
      <c r="D16">
        <f t="shared" ref="D16:D21" si="0">C16/2</f>
        <v>2.0249999999999999</v>
      </c>
    </row>
    <row r="17" spans="1:11">
      <c r="A17" t="s">
        <v>687</v>
      </c>
      <c r="B17">
        <v>13790</v>
      </c>
      <c r="C17">
        <f>(C16*B16)/B17</f>
        <v>5.8520884699057287</v>
      </c>
      <c r="D17">
        <f t="shared" si="0"/>
        <v>2.9260442349528644</v>
      </c>
    </row>
    <row r="18" spans="1:11">
      <c r="A18" t="s">
        <v>688</v>
      </c>
      <c r="B18">
        <v>6136</v>
      </c>
      <c r="C18">
        <v>0</v>
      </c>
      <c r="D18">
        <f t="shared" si="0"/>
        <v>0</v>
      </c>
    </row>
    <row r="19" spans="1:11">
      <c r="A19" t="s">
        <v>664</v>
      </c>
      <c r="B19">
        <v>1550</v>
      </c>
      <c r="C19">
        <f>10*(47/B1)</f>
        <v>16.206896551724135</v>
      </c>
      <c r="D19">
        <f t="shared" si="0"/>
        <v>8.1034482758620676</v>
      </c>
      <c r="E19" t="s">
        <v>689</v>
      </c>
    </row>
    <row r="20" spans="1:11">
      <c r="A20" t="s">
        <v>28</v>
      </c>
      <c r="B20">
        <f>SUM(B17:B19)</f>
        <v>21476</v>
      </c>
      <c r="C20">
        <f>(B16*C16+B19*C19)/B20</f>
        <v>4.927406856731813</v>
      </c>
      <c r="D20">
        <f t="shared" si="0"/>
        <v>2.4637034283659065</v>
      </c>
    </row>
    <row r="21" spans="1:11">
      <c r="A21" t="s">
        <v>678</v>
      </c>
      <c r="B21">
        <f>B17+B19</f>
        <v>15340</v>
      </c>
      <c r="C21">
        <f>(C17*B17+B19*C19)/B21</f>
        <v>6.8983695994245373</v>
      </c>
      <c r="D21">
        <f t="shared" si="0"/>
        <v>3.4491847997122687</v>
      </c>
    </row>
    <row r="23" spans="1:11">
      <c r="A23" t="s">
        <v>690</v>
      </c>
      <c r="B23">
        <f>B21*(D21/5)</f>
        <v>10582.09896551724</v>
      </c>
    </row>
    <row r="24" spans="1:11">
      <c r="A24" t="s">
        <v>691</v>
      </c>
      <c r="B24">
        <f>B23*B9</f>
        <v>5862.4828268965512</v>
      </c>
    </row>
    <row r="25" spans="1:11">
      <c r="A25" t="s">
        <v>692</v>
      </c>
      <c r="B25">
        <f>B23*B12</f>
        <v>3703.7346379310329</v>
      </c>
    </row>
    <row r="27" spans="1:11">
      <c r="A27" t="s">
        <v>693</v>
      </c>
      <c r="B27">
        <v>1130</v>
      </c>
    </row>
    <row r="28" spans="1:11">
      <c r="A28" t="s">
        <v>694</v>
      </c>
      <c r="B28">
        <v>1.5</v>
      </c>
    </row>
    <row r="29" spans="1:11">
      <c r="A29" t="s">
        <v>695</v>
      </c>
      <c r="B29">
        <f>B25/(B28)</f>
        <v>2469.1564252873554</v>
      </c>
    </row>
    <row r="30" spans="1:11">
      <c r="A30" t="s">
        <v>696</v>
      </c>
      <c r="B30">
        <v>6.3</v>
      </c>
    </row>
    <row r="31" spans="1:11">
      <c r="A31" t="s">
        <v>697</v>
      </c>
      <c r="B31">
        <f>B29/B30</f>
        <v>391.92959131545325</v>
      </c>
    </row>
    <row r="32" spans="1:11">
      <c r="J32" t="s">
        <v>631</v>
      </c>
      <c r="K32">
        <v>2.68</v>
      </c>
    </row>
    <row r="33" spans="1:25">
      <c r="A33" t="s">
        <v>698</v>
      </c>
      <c r="B33">
        <f>F38+B31</f>
        <v>615.80459131545331</v>
      </c>
      <c r="C33" t="s">
        <v>636</v>
      </c>
    </row>
    <row r="34" spans="1:25">
      <c r="A34" t="s">
        <v>699</v>
      </c>
      <c r="B34">
        <f>B31/B33</f>
        <v>0.63645123281434357</v>
      </c>
      <c r="C34">
        <f>B34*B6</f>
        <v>25.128850399049085</v>
      </c>
      <c r="J34" t="s">
        <v>76</v>
      </c>
      <c r="K34" t="s">
        <v>77</v>
      </c>
      <c r="O34" t="s">
        <v>700</v>
      </c>
      <c r="P34" t="s">
        <v>701</v>
      </c>
      <c r="Q34" t="s">
        <v>702</v>
      </c>
      <c r="S34" t="s">
        <v>78</v>
      </c>
      <c r="W34" t="s">
        <v>700</v>
      </c>
      <c r="X34" t="s">
        <v>701</v>
      </c>
      <c r="Y34" t="s">
        <v>702</v>
      </c>
    </row>
    <row r="35" spans="1:25">
      <c r="A35" t="s">
        <v>703</v>
      </c>
      <c r="B35">
        <f>F38/B33</f>
        <v>0.36354876718565637</v>
      </c>
      <c r="C35">
        <f>B35*B6</f>
        <v>14.353908221640571</v>
      </c>
      <c r="K35" t="s">
        <v>87</v>
      </c>
      <c r="L35" t="s">
        <v>639</v>
      </c>
      <c r="M35" t="s">
        <v>704</v>
      </c>
      <c r="N35" t="s">
        <v>705</v>
      </c>
      <c r="O35" t="s">
        <v>644</v>
      </c>
      <c r="S35" t="s">
        <v>87</v>
      </c>
      <c r="T35" t="s">
        <v>639</v>
      </c>
      <c r="U35" t="s">
        <v>704</v>
      </c>
      <c r="V35" t="s">
        <v>705</v>
      </c>
      <c r="W35" t="s">
        <v>644</v>
      </c>
    </row>
    <row r="36" spans="1:25">
      <c r="J36" s="1">
        <v>0.38541666666666669</v>
      </c>
      <c r="K36" s="1">
        <v>2.9166666666666671E-2</v>
      </c>
      <c r="L36">
        <f t="shared" ref="L36:L47" si="1">K36*24</f>
        <v>0.70000000000000007</v>
      </c>
      <c r="M36">
        <f t="shared" ref="M36:M46" si="2">L36/$L$48</f>
        <v>9.7742611124040035E-2</v>
      </c>
      <c r="N36">
        <f t="shared" ref="N36:N46" si="3">M36*$B$44</f>
        <v>0.57465311074495717</v>
      </c>
      <c r="O36">
        <f t="shared" ref="O36:O46" si="4">N36/$B$39</f>
        <v>6.3370267851574222E-2</v>
      </c>
      <c r="P36">
        <f t="shared" ref="P36:P46" si="5">O36*1000</f>
        <v>63.370267851574219</v>
      </c>
      <c r="Q36">
        <f t="shared" ref="Q36:Q46" si="6">P36/$K$32</f>
        <v>23.645622332676947</v>
      </c>
      <c r="S36" s="1">
        <v>2.7083333333333331E-2</v>
      </c>
      <c r="T36">
        <f t="shared" ref="T36:T47" si="7">S36*24</f>
        <v>0.64999999999999991</v>
      </c>
      <c r="U36">
        <f t="shared" ref="U36:U46" si="8">T36/$T$48</f>
        <v>9.774436090225562E-2</v>
      </c>
      <c r="V36">
        <f t="shared" ref="V36:V46" si="9">U36*$C$44</f>
        <v>0.65576050609767633</v>
      </c>
      <c r="W36">
        <f t="shared" ref="W36:W46" si="10">V36/$C$39</f>
        <v>6.994778731708548E-2</v>
      </c>
      <c r="X36">
        <f t="shared" ref="X36:X46" si="11">W36*1000</f>
        <v>69.947787317085485</v>
      </c>
      <c r="Y36">
        <f t="shared" ref="Y36:Y46" si="12">X36/$K$32</f>
        <v>26.099920640703537</v>
      </c>
    </row>
    <row r="37" spans="1:25">
      <c r="B37" t="s">
        <v>77</v>
      </c>
      <c r="C37" t="s">
        <v>78</v>
      </c>
      <c r="D37">
        <v>20</v>
      </c>
      <c r="E37">
        <v>22</v>
      </c>
      <c r="F37" t="s">
        <v>28</v>
      </c>
      <c r="J37" s="1">
        <v>0.42708333333333331</v>
      </c>
      <c r="K37" s="1">
        <v>2.6249999999999999E-2</v>
      </c>
      <c r="L37">
        <f t="shared" si="1"/>
        <v>0.63</v>
      </c>
      <c r="M37">
        <f t="shared" si="2"/>
        <v>8.7968350011636026E-2</v>
      </c>
      <c r="N37">
        <f t="shared" si="3"/>
        <v>0.51718779967046136</v>
      </c>
      <c r="O37">
        <f t="shared" si="4"/>
        <v>5.7033241066416787E-2</v>
      </c>
      <c r="P37">
        <f t="shared" si="5"/>
        <v>57.033241066416785</v>
      </c>
      <c r="Q37">
        <f t="shared" si="6"/>
        <v>21.281060099409245</v>
      </c>
      <c r="S37" s="1">
        <v>2.5347222222222219E-2</v>
      </c>
      <c r="T37">
        <f t="shared" si="7"/>
        <v>0.60833333333333328</v>
      </c>
      <c r="U37">
        <f t="shared" si="8"/>
        <v>9.1478696741854618E-2</v>
      </c>
      <c r="V37">
        <f t="shared" si="9"/>
        <v>0.61372457621962007</v>
      </c>
      <c r="W37">
        <f t="shared" si="10"/>
        <v>6.5463954796759469E-2</v>
      </c>
      <c r="X37">
        <f t="shared" si="11"/>
        <v>65.463954796759467</v>
      </c>
      <c r="Y37">
        <f t="shared" si="12"/>
        <v>24.426848804760994</v>
      </c>
    </row>
    <row r="38" spans="1:25">
      <c r="A38" t="s">
        <v>706</v>
      </c>
      <c r="B38">
        <v>99.75</v>
      </c>
      <c r="C38">
        <v>103.125</v>
      </c>
      <c r="D38">
        <v>13</v>
      </c>
      <c r="E38">
        <v>8</v>
      </c>
      <c r="F38">
        <f t="shared" ref="F38:F44" si="13">SUM(B38:E38)</f>
        <v>223.875</v>
      </c>
      <c r="J38" s="1">
        <v>0.46875</v>
      </c>
      <c r="K38" s="1">
        <v>2.5312500000000002E-2</v>
      </c>
      <c r="L38">
        <f t="shared" si="1"/>
        <v>0.60750000000000004</v>
      </c>
      <c r="M38">
        <f t="shared" si="2"/>
        <v>8.4826623225506173E-2</v>
      </c>
      <c r="N38">
        <f t="shared" si="3"/>
        <v>0.49871680682508779</v>
      </c>
      <c r="O38">
        <f t="shared" si="4"/>
        <v>5.4996339599759053E-2</v>
      </c>
      <c r="P38">
        <f t="shared" si="5"/>
        <v>54.996339599759054</v>
      </c>
      <c r="Q38">
        <f t="shared" si="6"/>
        <v>20.521022238716064</v>
      </c>
      <c r="S38" s="1">
        <v>2.4305555555555559E-2</v>
      </c>
      <c r="T38">
        <f t="shared" si="7"/>
        <v>0.58333333333333348</v>
      </c>
      <c r="U38">
        <f t="shared" si="8"/>
        <v>8.7719298245614058E-2</v>
      </c>
      <c r="V38">
        <f t="shared" si="9"/>
        <v>0.58850301829278673</v>
      </c>
      <c r="W38">
        <f t="shared" si="10"/>
        <v>6.2773655284563912E-2</v>
      </c>
      <c r="X38">
        <f t="shared" si="11"/>
        <v>62.773655284563915</v>
      </c>
      <c r="Y38">
        <f t="shared" si="12"/>
        <v>23.423005703195489</v>
      </c>
    </row>
    <row r="39" spans="1:25">
      <c r="A39" t="s">
        <v>707</v>
      </c>
      <c r="B39">
        <f>B38/$B$3</f>
        <v>9.0681818181818183</v>
      </c>
      <c r="C39">
        <f>C38/$B$3</f>
        <v>9.375</v>
      </c>
      <c r="D39">
        <f>D38/$B$3</f>
        <v>1.1818181818181819</v>
      </c>
      <c r="E39">
        <f>E38/$B$3</f>
        <v>0.72727272727272729</v>
      </c>
      <c r="F39">
        <f t="shared" si="13"/>
        <v>20.35227272727273</v>
      </c>
      <c r="J39" s="1">
        <v>0.51041666666666663</v>
      </c>
      <c r="K39" s="1">
        <v>2.5937499999999999E-2</v>
      </c>
      <c r="L39">
        <f t="shared" si="1"/>
        <v>0.62249999999999994</v>
      </c>
      <c r="M39">
        <f t="shared" si="2"/>
        <v>8.6921107749592733E-2</v>
      </c>
      <c r="N39">
        <f t="shared" si="3"/>
        <v>0.5110308020553368</v>
      </c>
      <c r="O39">
        <f t="shared" si="4"/>
        <v>5.6354273910864207E-2</v>
      </c>
      <c r="P39">
        <f t="shared" si="5"/>
        <v>56.354273910864208</v>
      </c>
      <c r="Q39">
        <f t="shared" si="6"/>
        <v>21.027714145844854</v>
      </c>
      <c r="S39" s="1">
        <v>2.569444444444444E-2</v>
      </c>
      <c r="T39">
        <f t="shared" si="7"/>
        <v>0.61666666666666659</v>
      </c>
      <c r="U39">
        <f t="shared" si="8"/>
        <v>9.2731829573934818E-2</v>
      </c>
      <c r="V39">
        <f t="shared" si="9"/>
        <v>0.62213176219523136</v>
      </c>
      <c r="W39">
        <f t="shared" si="10"/>
        <v>6.6360721300824682E-2</v>
      </c>
      <c r="X39">
        <f t="shared" si="11"/>
        <v>66.360721300824679</v>
      </c>
      <c r="Y39">
        <f t="shared" si="12"/>
        <v>24.761463171949504</v>
      </c>
    </row>
    <row r="40" spans="1:25">
      <c r="F40">
        <f t="shared" si="13"/>
        <v>0</v>
      </c>
      <c r="J40" s="41">
        <v>0.55208333333333337</v>
      </c>
      <c r="K40" s="1">
        <v>2.6875E-2</v>
      </c>
      <c r="L40">
        <f t="shared" si="1"/>
        <v>0.64500000000000002</v>
      </c>
      <c r="M40">
        <f t="shared" si="2"/>
        <v>9.00628345357226E-2</v>
      </c>
      <c r="N40">
        <f t="shared" si="3"/>
        <v>0.52950179490071048</v>
      </c>
      <c r="O40">
        <f t="shared" si="4"/>
        <v>5.8391175377521955E-2</v>
      </c>
      <c r="P40">
        <f t="shared" si="5"/>
        <v>58.391175377521954</v>
      </c>
      <c r="Q40">
        <f t="shared" si="6"/>
        <v>21.787752006538042</v>
      </c>
      <c r="S40" s="1">
        <v>2.5000000000000001E-2</v>
      </c>
      <c r="T40">
        <f t="shared" si="7"/>
        <v>0.60000000000000009</v>
      </c>
      <c r="U40">
        <f t="shared" si="8"/>
        <v>9.0225563909774445E-2</v>
      </c>
      <c r="V40">
        <f t="shared" si="9"/>
        <v>0.6053173902440091</v>
      </c>
      <c r="W40">
        <f t="shared" si="10"/>
        <v>6.4567188292694311E-2</v>
      </c>
      <c r="X40">
        <f t="shared" si="11"/>
        <v>64.567188292694311</v>
      </c>
      <c r="Y40">
        <f t="shared" si="12"/>
        <v>24.092234437572504</v>
      </c>
    </row>
    <row r="41" spans="1:25">
      <c r="A41" t="s">
        <v>708</v>
      </c>
      <c r="B41">
        <v>7.6951350371640101</v>
      </c>
      <c r="C41">
        <v>8.4936998302628108</v>
      </c>
      <c r="D41">
        <v>9.2069849324599105</v>
      </c>
      <c r="E41">
        <v>13.8550978628406</v>
      </c>
      <c r="F41">
        <f t="shared" si="13"/>
        <v>39.250917662727332</v>
      </c>
      <c r="J41" s="41">
        <v>0.59375</v>
      </c>
      <c r="K41" s="1">
        <v>2.6875E-2</v>
      </c>
      <c r="L41">
        <f t="shared" si="1"/>
        <v>0.64500000000000002</v>
      </c>
      <c r="M41">
        <f t="shared" si="2"/>
        <v>9.00628345357226E-2</v>
      </c>
      <c r="N41">
        <f t="shared" si="3"/>
        <v>0.52950179490071048</v>
      </c>
      <c r="O41">
        <f t="shared" si="4"/>
        <v>5.8391175377521955E-2</v>
      </c>
      <c r="P41">
        <f t="shared" si="5"/>
        <v>58.391175377521954</v>
      </c>
      <c r="Q41">
        <f t="shared" si="6"/>
        <v>21.787752006538042</v>
      </c>
      <c r="S41" s="1">
        <v>2.5000000000000001E-2</v>
      </c>
      <c r="T41">
        <f t="shared" si="7"/>
        <v>0.60000000000000009</v>
      </c>
      <c r="U41">
        <f t="shared" si="8"/>
        <v>9.0225563909774445E-2</v>
      </c>
      <c r="V41">
        <f t="shared" si="9"/>
        <v>0.6053173902440091</v>
      </c>
      <c r="W41">
        <f t="shared" si="10"/>
        <v>6.4567188292694311E-2</v>
      </c>
      <c r="X41">
        <f t="shared" si="11"/>
        <v>64.567188292694311</v>
      </c>
      <c r="Y41">
        <f t="shared" si="12"/>
        <v>24.092234437572504</v>
      </c>
    </row>
    <row r="42" spans="1:25">
      <c r="A42" t="s">
        <v>655</v>
      </c>
      <c r="B42">
        <f>B41*B38</f>
        <v>767.58971995710999</v>
      </c>
      <c r="C42">
        <f>C41*C38</f>
        <v>875.91279499585232</v>
      </c>
      <c r="D42">
        <f>D41*D38</f>
        <v>119.69080412197883</v>
      </c>
      <c r="E42">
        <f>E41*E38</f>
        <v>110.8407829027248</v>
      </c>
      <c r="F42">
        <f t="shared" si="13"/>
        <v>1874.0341019776661</v>
      </c>
      <c r="J42" s="1">
        <v>0.63541666666666663</v>
      </c>
      <c r="K42" s="1">
        <v>2.5000000000000001E-2</v>
      </c>
      <c r="L42">
        <f t="shared" si="1"/>
        <v>0.60000000000000009</v>
      </c>
      <c r="M42">
        <f t="shared" si="2"/>
        <v>8.3779380963462893E-2</v>
      </c>
      <c r="N42">
        <f t="shared" si="3"/>
        <v>0.49255980920996328</v>
      </c>
      <c r="O42">
        <f t="shared" si="4"/>
        <v>5.431737244420648E-2</v>
      </c>
      <c r="P42">
        <f t="shared" si="5"/>
        <v>54.317372444206477</v>
      </c>
      <c r="Q42">
        <f t="shared" si="6"/>
        <v>20.267676285151669</v>
      </c>
      <c r="S42" s="1">
        <v>2.361111111111111E-2</v>
      </c>
      <c r="T42">
        <f t="shared" si="7"/>
        <v>0.56666666666666665</v>
      </c>
      <c r="U42">
        <f t="shared" si="8"/>
        <v>8.5213032581453629E-2</v>
      </c>
      <c r="V42">
        <f t="shared" si="9"/>
        <v>0.57168864634156402</v>
      </c>
      <c r="W42">
        <f t="shared" si="10"/>
        <v>6.0980122276433499E-2</v>
      </c>
      <c r="X42">
        <f t="shared" si="11"/>
        <v>60.980122276433498</v>
      </c>
      <c r="Y42">
        <f t="shared" si="12"/>
        <v>22.753776968818467</v>
      </c>
    </row>
    <row r="43" spans="1:25">
      <c r="A43" t="s">
        <v>709</v>
      </c>
      <c r="B43">
        <f>B42/$F$42</f>
        <v>0.40959218359317656</v>
      </c>
      <c r="C43">
        <f>C42/$F$42</f>
        <v>0.46739426677001372</v>
      </c>
      <c r="D43">
        <f>D42/$F$42</f>
        <v>6.3867996850040909E-2</v>
      </c>
      <c r="E43">
        <f>E42/$F$42</f>
        <v>5.9145552786768738E-2</v>
      </c>
      <c r="F43">
        <f t="shared" si="13"/>
        <v>0.99999999999999989</v>
      </c>
      <c r="J43" s="1">
        <v>0.67708333333333337</v>
      </c>
      <c r="K43" s="1">
        <v>2.5000000000000001E-2</v>
      </c>
      <c r="L43">
        <f t="shared" si="1"/>
        <v>0.60000000000000009</v>
      </c>
      <c r="M43">
        <f t="shared" si="2"/>
        <v>8.3779380963462893E-2</v>
      </c>
      <c r="N43">
        <f t="shared" si="3"/>
        <v>0.49255980920996328</v>
      </c>
      <c r="O43">
        <f t="shared" si="4"/>
        <v>5.431737244420648E-2</v>
      </c>
      <c r="P43">
        <f t="shared" si="5"/>
        <v>54.317372444206477</v>
      </c>
      <c r="Q43">
        <f t="shared" si="6"/>
        <v>20.267676285151669</v>
      </c>
      <c r="S43" s="1">
        <v>2.326388888888889E-2</v>
      </c>
      <c r="T43">
        <f t="shared" si="7"/>
        <v>0.55833333333333335</v>
      </c>
      <c r="U43">
        <f t="shared" si="8"/>
        <v>8.3959899749373429E-2</v>
      </c>
      <c r="V43">
        <f t="shared" si="9"/>
        <v>0.56328146036595284</v>
      </c>
      <c r="W43">
        <f t="shared" si="10"/>
        <v>6.0083355772368299E-2</v>
      </c>
      <c r="X43">
        <f t="shared" si="11"/>
        <v>60.0833557723683</v>
      </c>
      <c r="Y43">
        <f t="shared" si="12"/>
        <v>22.41916260162996</v>
      </c>
    </row>
    <row r="44" spans="1:25">
      <c r="A44" t="s">
        <v>710</v>
      </c>
      <c r="B44">
        <f>B43*$C$35</f>
        <v>5.8792486115978111</v>
      </c>
      <c r="C44">
        <f>C43*$C$35</f>
        <v>6.7089344085377665</v>
      </c>
      <c r="D44">
        <f>D43*$C$35</f>
        <v>0.91675536508551636</v>
      </c>
      <c r="E44">
        <f>E43*$C$35</f>
        <v>0.84896983641947621</v>
      </c>
      <c r="F44">
        <f t="shared" si="13"/>
        <v>14.35390822164057</v>
      </c>
      <c r="J44" s="1">
        <v>0.71875</v>
      </c>
      <c r="K44" s="1">
        <v>2.9861111111111109E-2</v>
      </c>
      <c r="L44">
        <f t="shared" si="1"/>
        <v>0.71666666666666656</v>
      </c>
      <c r="M44">
        <f t="shared" si="2"/>
        <v>0.10006981615080286</v>
      </c>
      <c r="N44">
        <f t="shared" si="3"/>
        <v>0.58833532766745589</v>
      </c>
      <c r="O44">
        <f t="shared" si="4"/>
        <v>6.4879083752802158E-2</v>
      </c>
      <c r="P44">
        <f t="shared" si="5"/>
        <v>64.87908375280216</v>
      </c>
      <c r="Q44">
        <f t="shared" si="6"/>
        <v>24.208613340597818</v>
      </c>
      <c r="S44" s="1">
        <v>2.6388888888888889E-2</v>
      </c>
      <c r="T44">
        <f t="shared" si="7"/>
        <v>0.6333333333333333</v>
      </c>
      <c r="U44">
        <f t="shared" si="8"/>
        <v>9.5238095238095233E-2</v>
      </c>
      <c r="V44">
        <f t="shared" si="9"/>
        <v>0.63894613414645396</v>
      </c>
      <c r="W44">
        <f t="shared" si="10"/>
        <v>6.8154254308955095E-2</v>
      </c>
      <c r="X44">
        <f t="shared" si="11"/>
        <v>68.154254308955089</v>
      </c>
      <c r="Y44">
        <f t="shared" si="12"/>
        <v>25.430691906326523</v>
      </c>
    </row>
    <row r="45" spans="1:25">
      <c r="J45" s="1">
        <v>0.76041666666666663</v>
      </c>
      <c r="K45" s="1">
        <v>3.125E-2</v>
      </c>
      <c r="L45">
        <f t="shared" si="1"/>
        <v>0.75</v>
      </c>
      <c r="M45">
        <f t="shared" si="2"/>
        <v>0.1047242262043286</v>
      </c>
      <c r="N45">
        <f t="shared" si="3"/>
        <v>0.61569976151245398</v>
      </c>
      <c r="O45">
        <f t="shared" si="4"/>
        <v>6.7896715555258086E-2</v>
      </c>
      <c r="P45">
        <f t="shared" si="5"/>
        <v>67.896715555258083</v>
      </c>
      <c r="Q45">
        <f t="shared" si="6"/>
        <v>25.334595356439582</v>
      </c>
      <c r="S45" s="1">
        <v>2.6388888888888889E-2</v>
      </c>
      <c r="T45">
        <f t="shared" si="7"/>
        <v>0.6333333333333333</v>
      </c>
      <c r="U45">
        <f t="shared" si="8"/>
        <v>9.5238095238095233E-2</v>
      </c>
      <c r="V45">
        <f t="shared" si="9"/>
        <v>0.63894613414645396</v>
      </c>
      <c r="W45">
        <f t="shared" si="10"/>
        <v>6.8154254308955095E-2</v>
      </c>
      <c r="X45">
        <f t="shared" si="11"/>
        <v>68.154254308955089</v>
      </c>
      <c r="Y45">
        <f t="shared" si="12"/>
        <v>25.430691906326523</v>
      </c>
    </row>
    <row r="46" spans="1:25">
      <c r="J46" s="41">
        <v>0.80208333333333337</v>
      </c>
      <c r="K46" s="1">
        <v>2.6875E-2</v>
      </c>
      <c r="L46">
        <f t="shared" si="1"/>
        <v>0.64500000000000002</v>
      </c>
      <c r="M46">
        <f t="shared" si="2"/>
        <v>9.00628345357226E-2</v>
      </c>
      <c r="N46">
        <f t="shared" si="3"/>
        <v>0.52950179490071048</v>
      </c>
      <c r="O46">
        <f t="shared" si="4"/>
        <v>5.8391175377521955E-2</v>
      </c>
      <c r="P46">
        <f t="shared" si="5"/>
        <v>58.391175377521954</v>
      </c>
      <c r="Q46">
        <f t="shared" si="6"/>
        <v>21.787752006538042</v>
      </c>
      <c r="S46" s="1">
        <v>2.5000000000000001E-2</v>
      </c>
      <c r="T46">
        <f t="shared" si="7"/>
        <v>0.60000000000000009</v>
      </c>
      <c r="U46">
        <f t="shared" si="8"/>
        <v>9.0225563909774445E-2</v>
      </c>
      <c r="V46">
        <f t="shared" si="9"/>
        <v>0.6053173902440091</v>
      </c>
      <c r="W46">
        <f t="shared" si="10"/>
        <v>6.4567188292694311E-2</v>
      </c>
      <c r="X46">
        <f t="shared" si="11"/>
        <v>64.567188292694311</v>
      </c>
      <c r="Y46">
        <f t="shared" si="12"/>
        <v>24.092234437572504</v>
      </c>
    </row>
    <row r="47" spans="1:25">
      <c r="J47" t="s">
        <v>711</v>
      </c>
      <c r="K47" s="1">
        <v>2.6875E-2</v>
      </c>
      <c r="L47">
        <f t="shared" si="1"/>
        <v>0.64500000000000002</v>
      </c>
      <c r="S47" s="1">
        <v>2.5000000000000001E-2</v>
      </c>
      <c r="T47">
        <f t="shared" si="7"/>
        <v>0.60000000000000009</v>
      </c>
    </row>
    <row r="48" spans="1:25">
      <c r="J48" t="s">
        <v>28</v>
      </c>
      <c r="K48" s="1">
        <f>SUM(K36:K46)</f>
        <v>0.29840277777777779</v>
      </c>
      <c r="L48">
        <f>SUM(L36:L46)</f>
        <v>7.1616666666666671</v>
      </c>
      <c r="S48" s="1">
        <f>SUM(S36:S46)</f>
        <v>0.27708333333333335</v>
      </c>
      <c r="T48">
        <f>SUM(T36:T46)</f>
        <v>6.65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M23"/>
  <sheetViews>
    <sheetView workbookViewId="0">
      <selection activeCell="B3" sqref="B3:H10"/>
    </sheetView>
  </sheetViews>
  <sheetFormatPr baseColWidth="10" defaultRowHeight="16"/>
  <cols>
    <col min="2" max="2" width="25.1640625" bestFit="1" customWidth="1"/>
    <col min="7" max="7" width="13.5" bestFit="1" customWidth="1"/>
  </cols>
  <sheetData>
    <row r="1" spans="1:8">
      <c r="B1" t="s">
        <v>712</v>
      </c>
    </row>
    <row r="3" spans="1:8">
      <c r="C3" s="85" t="s">
        <v>713</v>
      </c>
      <c r="D3" s="86"/>
      <c r="E3" s="86"/>
      <c r="F3" s="86"/>
      <c r="G3" s="86"/>
      <c r="H3" s="87"/>
    </row>
    <row r="4" spans="1:8">
      <c r="A4" t="s">
        <v>714</v>
      </c>
      <c r="B4" s="45" t="s">
        <v>715</v>
      </c>
      <c r="C4" s="43" t="s">
        <v>716</v>
      </c>
      <c r="D4" s="43" t="s">
        <v>717</v>
      </c>
      <c r="E4" s="43" t="s">
        <v>718</v>
      </c>
      <c r="F4" s="43" t="s">
        <v>719</v>
      </c>
      <c r="G4" s="43" t="s">
        <v>720</v>
      </c>
      <c r="H4" s="43" t="s">
        <v>28</v>
      </c>
    </row>
    <row r="5" spans="1:8">
      <c r="B5" s="46" t="s">
        <v>721</v>
      </c>
      <c r="C5" s="44">
        <v>1</v>
      </c>
      <c r="D5" s="44">
        <v>1</v>
      </c>
      <c r="E5" s="44">
        <v>1</v>
      </c>
      <c r="F5" s="44">
        <v>1</v>
      </c>
      <c r="G5" s="44">
        <v>5</v>
      </c>
      <c r="H5" s="44">
        <f>SUM(C5:G5)</f>
        <v>9</v>
      </c>
    </row>
    <row r="6" spans="1:8">
      <c r="B6" s="46" t="s">
        <v>722</v>
      </c>
      <c r="C6" s="44">
        <v>1</v>
      </c>
      <c r="D6" s="44">
        <v>2</v>
      </c>
      <c r="E6" s="44">
        <v>2</v>
      </c>
      <c r="F6" s="44">
        <v>1</v>
      </c>
      <c r="G6" s="44">
        <v>4</v>
      </c>
      <c r="H6" s="44">
        <f>SUM(C6:G6)</f>
        <v>10</v>
      </c>
    </row>
    <row r="7" spans="1:8">
      <c r="B7" s="46" t="s">
        <v>723</v>
      </c>
      <c r="C7" s="44">
        <v>1</v>
      </c>
      <c r="D7" s="44">
        <v>2</v>
      </c>
      <c r="E7" s="44">
        <v>3</v>
      </c>
      <c r="F7" s="44">
        <v>4</v>
      </c>
      <c r="G7" s="44">
        <v>2</v>
      </c>
      <c r="H7" s="44">
        <f>SUM(C7:G7)</f>
        <v>12</v>
      </c>
    </row>
    <row r="8" spans="1:8">
      <c r="B8" s="46" t="s">
        <v>724</v>
      </c>
      <c r="C8" s="44">
        <v>1</v>
      </c>
      <c r="D8" s="44">
        <v>2</v>
      </c>
      <c r="E8" s="44">
        <v>4</v>
      </c>
      <c r="F8" s="44">
        <v>5</v>
      </c>
      <c r="G8" s="44">
        <v>2</v>
      </c>
      <c r="H8" s="44">
        <f>SUM(C8:G8)</f>
        <v>14</v>
      </c>
    </row>
    <row r="9" spans="1:8">
      <c r="B9" s="46" t="s">
        <v>725</v>
      </c>
      <c r="C9" s="44">
        <v>5</v>
      </c>
      <c r="D9" s="44">
        <v>5</v>
      </c>
      <c r="E9" s="44">
        <v>5</v>
      </c>
      <c r="F9" s="44">
        <v>1</v>
      </c>
      <c r="G9" s="44">
        <v>1</v>
      </c>
      <c r="H9" s="44">
        <f>SUM(C9:G9)</f>
        <v>17</v>
      </c>
    </row>
    <row r="10" spans="1:8">
      <c r="B10" s="93"/>
      <c r="C10" s="94"/>
      <c r="D10" s="94"/>
      <c r="E10" s="94"/>
      <c r="F10" s="94"/>
      <c r="G10" s="94"/>
      <c r="H10" s="94"/>
    </row>
    <row r="23" spans="13:13">
      <c r="M23" t="s">
        <v>726</v>
      </c>
    </row>
  </sheetData>
  <mergeCells count="2">
    <mergeCell ref="C3:H3"/>
    <mergeCell ref="B10:H10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20</vt:i4>
      </vt:variant>
    </vt:vector>
  </HeadingPairs>
  <TitlesOfParts>
    <vt:vector size="20" baseType="lpstr">
      <vt:lpstr>Impact on Footprint</vt:lpstr>
      <vt:lpstr>Chancellors</vt:lpstr>
      <vt:lpstr>Bus Sheet</vt:lpstr>
      <vt:lpstr>Bus Sheet (2)</vt:lpstr>
      <vt:lpstr>BusRouteAnalysis</vt:lpstr>
      <vt:lpstr>Contact Hours</vt:lpstr>
      <vt:lpstr>Bus Emissions v1</vt:lpstr>
      <vt:lpstr>Bus Emissions v1.2</vt:lpstr>
      <vt:lpstr>bus methods</vt:lpstr>
      <vt:lpstr>Google Maps Time</vt:lpstr>
      <vt:lpstr>Bus Emissions v2</vt:lpstr>
      <vt:lpstr>0-30</vt:lpstr>
      <vt:lpstr>Demographic</vt:lpstr>
      <vt:lpstr>Demographic (2)</vt:lpstr>
      <vt:lpstr>Demographic (3)</vt:lpstr>
      <vt:lpstr>Rooms</vt:lpstr>
      <vt:lpstr>TestCases</vt:lpstr>
      <vt:lpstr>Class Info</vt:lpstr>
      <vt:lpstr>Lecture Times</vt:lpstr>
      <vt:lpstr>Results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 Page</dc:creator>
  <cp:lastModifiedBy>Dan Page</cp:lastModifiedBy>
  <dcterms:created xsi:type="dcterms:W3CDTF">2023-03-02T12:38:36Z</dcterms:created>
  <dcterms:modified xsi:type="dcterms:W3CDTF">2023-04-18T10:35:19Z</dcterms:modified>
</cp:coreProperties>
</file>